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vforskningsinstituttet.sharepoint.com/sites/hi/nmkl/nordval/Shared Documents/Protocols and forms/NordVal Protocol 1 Mirco/Year 2024-2026/"/>
    </mc:Choice>
  </mc:AlternateContent>
  <xr:revisionPtr revIDLastSave="8" documentId="8_{1BC42B45-D47D-4449-A88F-AA456A1E8BA5}" xr6:coauthVersionLast="47" xr6:coauthVersionMax="47" xr10:uidLastSave="{F238825E-1F62-404A-8EE4-17765802C381}"/>
  <bookViews>
    <workbookView xWindow="28680" yWindow="-120" windowWidth="29040" windowHeight="15720" xr2:uid="{00000000-000D-0000-FFFF-FFFF00000000}"/>
  </bookViews>
  <sheets>
    <sheet name="Bland-altman Plot" sheetId="1" r:id="rId1"/>
    <sheet name="Accuracy Profile MCS" sheetId="2" r:id="rId2"/>
    <sheet name="Accuracy Profile IL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46" i="1"/>
  <c r="C74" i="3"/>
  <c r="G68" i="3"/>
  <c r="G73" i="3" s="1"/>
  <c r="B68" i="3"/>
  <c r="J66" i="3"/>
  <c r="K66" i="3" s="1"/>
  <c r="I66" i="3"/>
  <c r="E66" i="3"/>
  <c r="F66" i="3" s="1"/>
  <c r="D66" i="3"/>
  <c r="K65" i="3"/>
  <c r="J65" i="3"/>
  <c r="I65" i="3"/>
  <c r="E65" i="3"/>
  <c r="F65" i="3" s="1"/>
  <c r="D65" i="3"/>
  <c r="J64" i="3"/>
  <c r="K64" i="3" s="1"/>
  <c r="I64" i="3"/>
  <c r="E64" i="3"/>
  <c r="F64" i="3" s="1"/>
  <c r="D64" i="3"/>
  <c r="J63" i="3"/>
  <c r="K63" i="3" s="1"/>
  <c r="I63" i="3"/>
  <c r="E63" i="3"/>
  <c r="F63" i="3" s="1"/>
  <c r="D63" i="3"/>
  <c r="J62" i="3"/>
  <c r="K62" i="3" s="1"/>
  <c r="I62" i="3"/>
  <c r="E62" i="3"/>
  <c r="F62" i="3" s="1"/>
  <c r="D62" i="3"/>
  <c r="J61" i="3"/>
  <c r="K61" i="3" s="1"/>
  <c r="I61" i="3"/>
  <c r="E61" i="3"/>
  <c r="F61" i="3" s="1"/>
  <c r="D61" i="3"/>
  <c r="K60" i="3"/>
  <c r="J60" i="3"/>
  <c r="I60" i="3"/>
  <c r="E60" i="3"/>
  <c r="F60" i="3" s="1"/>
  <c r="D60" i="3"/>
  <c r="J59" i="3"/>
  <c r="I59" i="3"/>
  <c r="F59" i="3"/>
  <c r="E59" i="3"/>
  <c r="D59" i="3"/>
  <c r="C47" i="3"/>
  <c r="G41" i="3"/>
  <c r="G46" i="3" s="1"/>
  <c r="B41" i="3"/>
  <c r="J39" i="3"/>
  <c r="K39" i="3" s="1"/>
  <c r="I39" i="3"/>
  <c r="E39" i="3"/>
  <c r="F39" i="3" s="1"/>
  <c r="D39" i="3"/>
  <c r="K38" i="3"/>
  <c r="J38" i="3"/>
  <c r="I38" i="3"/>
  <c r="E38" i="3"/>
  <c r="F38" i="3" s="1"/>
  <c r="D38" i="3"/>
  <c r="K37" i="3"/>
  <c r="J37" i="3"/>
  <c r="I37" i="3"/>
  <c r="E37" i="3"/>
  <c r="F37" i="3" s="1"/>
  <c r="D37" i="3"/>
  <c r="J36" i="3"/>
  <c r="K36" i="3" s="1"/>
  <c r="I36" i="3"/>
  <c r="F36" i="3"/>
  <c r="E36" i="3"/>
  <c r="D36" i="3"/>
  <c r="K35" i="3"/>
  <c r="J35" i="3"/>
  <c r="I35" i="3"/>
  <c r="E35" i="3"/>
  <c r="F35" i="3" s="1"/>
  <c r="D35" i="3"/>
  <c r="K34" i="3"/>
  <c r="J34" i="3"/>
  <c r="I34" i="3"/>
  <c r="F34" i="3"/>
  <c r="E34" i="3"/>
  <c r="D34" i="3"/>
  <c r="K33" i="3"/>
  <c r="J33" i="3"/>
  <c r="I33" i="3"/>
  <c r="E33" i="3"/>
  <c r="F33" i="3" s="1"/>
  <c r="D33" i="3"/>
  <c r="K32" i="3"/>
  <c r="J32" i="3"/>
  <c r="I32" i="3"/>
  <c r="F32" i="3"/>
  <c r="E32" i="3"/>
  <c r="D32" i="3"/>
  <c r="C21" i="3"/>
  <c r="G15" i="3"/>
  <c r="G20" i="3" s="1"/>
  <c r="B15" i="3"/>
  <c r="J13" i="3"/>
  <c r="K13" i="3" s="1"/>
  <c r="I13" i="3"/>
  <c r="E13" i="3"/>
  <c r="F13" i="3" s="1"/>
  <c r="D13" i="3"/>
  <c r="J12" i="3"/>
  <c r="K12" i="3" s="1"/>
  <c r="I12" i="3"/>
  <c r="E12" i="3"/>
  <c r="F12" i="3" s="1"/>
  <c r="D12" i="3"/>
  <c r="K11" i="3"/>
  <c r="J11" i="3"/>
  <c r="I11" i="3"/>
  <c r="E11" i="3"/>
  <c r="F11" i="3" s="1"/>
  <c r="D11" i="3"/>
  <c r="J10" i="3"/>
  <c r="K10" i="3" s="1"/>
  <c r="I10" i="3"/>
  <c r="F10" i="3"/>
  <c r="E10" i="3"/>
  <c r="D10" i="3"/>
  <c r="K9" i="3"/>
  <c r="J9" i="3"/>
  <c r="I9" i="3"/>
  <c r="E9" i="3"/>
  <c r="F9" i="3" s="1"/>
  <c r="D9" i="3"/>
  <c r="K8" i="3"/>
  <c r="J8" i="3"/>
  <c r="I8" i="3"/>
  <c r="F8" i="3"/>
  <c r="E8" i="3"/>
  <c r="D8" i="3"/>
  <c r="J7" i="3"/>
  <c r="K7" i="3" s="1"/>
  <c r="I7" i="3"/>
  <c r="E7" i="3"/>
  <c r="F7" i="3" s="1"/>
  <c r="D7" i="3"/>
  <c r="K6" i="3"/>
  <c r="J6" i="3"/>
  <c r="I6" i="3"/>
  <c r="E6" i="3"/>
  <c r="E14" i="3" s="1"/>
  <c r="D6" i="3"/>
  <c r="D19" i="2"/>
  <c r="B19" i="2"/>
  <c r="M12" i="2"/>
  <c r="L12" i="2"/>
  <c r="K12" i="2"/>
  <c r="J12" i="2"/>
  <c r="I12" i="2"/>
  <c r="F12" i="2"/>
  <c r="E12" i="2"/>
  <c r="D12" i="2"/>
  <c r="C12" i="2"/>
  <c r="G12" i="2" s="1"/>
  <c r="B12" i="2"/>
  <c r="M11" i="2"/>
  <c r="L11" i="2"/>
  <c r="K11" i="2"/>
  <c r="J11" i="2"/>
  <c r="I11" i="2"/>
  <c r="F11" i="2"/>
  <c r="E11" i="2"/>
  <c r="D11" i="2"/>
  <c r="C11" i="2"/>
  <c r="B11" i="2"/>
  <c r="M10" i="2"/>
  <c r="L10" i="2"/>
  <c r="K10" i="2"/>
  <c r="J10" i="2"/>
  <c r="I10" i="2"/>
  <c r="O10" i="2" s="1"/>
  <c r="F10" i="2"/>
  <c r="E10" i="2"/>
  <c r="D10" i="2"/>
  <c r="C10" i="2"/>
  <c r="B10" i="2"/>
  <c r="M9" i="2"/>
  <c r="L9" i="2"/>
  <c r="K9" i="2"/>
  <c r="J9" i="2"/>
  <c r="I9" i="2"/>
  <c r="F9" i="2"/>
  <c r="E9" i="2"/>
  <c r="D9" i="2"/>
  <c r="C9" i="2"/>
  <c r="B9" i="2"/>
  <c r="M8" i="2"/>
  <c r="L8" i="2"/>
  <c r="K8" i="2"/>
  <c r="J8" i="2"/>
  <c r="I8" i="2"/>
  <c r="N8" i="2" s="1"/>
  <c r="F8" i="2"/>
  <c r="E8" i="2"/>
  <c r="D8" i="2"/>
  <c r="C8" i="2"/>
  <c r="G8" i="2" s="1"/>
  <c r="B8" i="2"/>
  <c r="M7" i="2"/>
  <c r="L7" i="2"/>
  <c r="K7" i="2"/>
  <c r="J7" i="2"/>
  <c r="I7" i="2"/>
  <c r="H7" i="2"/>
  <c r="G7" i="2"/>
  <c r="E7" i="2"/>
  <c r="D7" i="2"/>
  <c r="C7" i="2"/>
  <c r="B7" i="2"/>
  <c r="F40" i="1"/>
  <c r="H40" i="1" s="1"/>
  <c r="E40" i="1"/>
  <c r="F39" i="1"/>
  <c r="H39" i="1" s="1"/>
  <c r="E39" i="1"/>
  <c r="F38" i="1"/>
  <c r="H38" i="1" s="1"/>
  <c r="E38" i="1"/>
  <c r="F37" i="1"/>
  <c r="H37" i="1" s="1"/>
  <c r="E37" i="1"/>
  <c r="F36" i="1"/>
  <c r="H36" i="1" s="1"/>
  <c r="E36" i="1"/>
  <c r="F35" i="1"/>
  <c r="H35" i="1" s="1"/>
  <c r="E35" i="1"/>
  <c r="F34" i="1"/>
  <c r="H34" i="1" s="1"/>
  <c r="E34" i="1"/>
  <c r="F33" i="1"/>
  <c r="H33" i="1" s="1"/>
  <c r="E33" i="1"/>
  <c r="F32" i="1"/>
  <c r="H32" i="1" s="1"/>
  <c r="E32" i="1"/>
  <c r="F31" i="1"/>
  <c r="H31" i="1" s="1"/>
  <c r="E31" i="1"/>
  <c r="F30" i="1"/>
  <c r="H30" i="1" s="1"/>
  <c r="E30" i="1"/>
  <c r="F29" i="1"/>
  <c r="H29" i="1" s="1"/>
  <c r="E29" i="1"/>
  <c r="F28" i="1"/>
  <c r="H28" i="1" s="1"/>
  <c r="E28" i="1"/>
  <c r="F27" i="1"/>
  <c r="H27" i="1" s="1"/>
  <c r="E27" i="1"/>
  <c r="F26" i="1"/>
  <c r="H26" i="1" s="1"/>
  <c r="E26" i="1"/>
  <c r="H22" i="1"/>
  <c r="F22" i="1"/>
  <c r="E22" i="1"/>
  <c r="G22" i="1" s="1"/>
  <c r="H21" i="1"/>
  <c r="F21" i="1"/>
  <c r="E21" i="1"/>
  <c r="G21" i="1" s="1"/>
  <c r="H20" i="1"/>
  <c r="F20" i="1"/>
  <c r="E20" i="1"/>
  <c r="G20" i="1" s="1"/>
  <c r="H19" i="1"/>
  <c r="F19" i="1"/>
  <c r="E19" i="1"/>
  <c r="G19" i="1" s="1"/>
  <c r="H18" i="1"/>
  <c r="F18" i="1"/>
  <c r="E18" i="1"/>
  <c r="G18" i="1" s="1"/>
  <c r="H17" i="1"/>
  <c r="F17" i="1"/>
  <c r="E17" i="1"/>
  <c r="G17" i="1" s="1"/>
  <c r="H16" i="1"/>
  <c r="F16" i="1"/>
  <c r="E16" i="1"/>
  <c r="G16" i="1" s="1"/>
  <c r="H15" i="1"/>
  <c r="F15" i="1"/>
  <c r="E15" i="1"/>
  <c r="G15" i="1" s="1"/>
  <c r="H14" i="1"/>
  <c r="F14" i="1"/>
  <c r="E14" i="1"/>
  <c r="G14" i="1" s="1"/>
  <c r="H13" i="1"/>
  <c r="F13" i="1"/>
  <c r="E13" i="1"/>
  <c r="G13" i="1" s="1"/>
  <c r="H12" i="1"/>
  <c r="F12" i="1"/>
  <c r="E12" i="1"/>
  <c r="G12" i="1" s="1"/>
  <c r="H11" i="1"/>
  <c r="F11" i="1"/>
  <c r="E11" i="1"/>
  <c r="G11" i="1" s="1"/>
  <c r="H10" i="1"/>
  <c r="F10" i="1"/>
  <c r="E10" i="1"/>
  <c r="G10" i="1" s="1"/>
  <c r="H9" i="1"/>
  <c r="F9" i="1"/>
  <c r="E9" i="1"/>
  <c r="G9" i="1" s="1"/>
  <c r="H8" i="1"/>
  <c r="H45" i="1" s="1"/>
  <c r="F8" i="1"/>
  <c r="E8" i="1"/>
  <c r="G8" i="1" s="1"/>
  <c r="K14" i="3" l="1"/>
  <c r="F40" i="3"/>
  <c r="I40" i="3"/>
  <c r="G42" i="3" s="1"/>
  <c r="G44" i="3" s="1"/>
  <c r="D67" i="3"/>
  <c r="B69" i="3" s="1"/>
  <c r="J67" i="3"/>
  <c r="I67" i="3"/>
  <c r="G69" i="3" s="1"/>
  <c r="F6" i="3"/>
  <c r="I14" i="3"/>
  <c r="B16" i="3" s="1"/>
  <c r="D40" i="3"/>
  <c r="B42" i="3" s="1"/>
  <c r="J40" i="3"/>
  <c r="E67" i="3"/>
  <c r="K59" i="3"/>
  <c r="K67" i="3" s="1"/>
  <c r="G70" i="3" s="1"/>
  <c r="G71" i="3" s="1"/>
  <c r="D14" i="3"/>
  <c r="J14" i="3"/>
  <c r="E40" i="3"/>
  <c r="K40" i="3"/>
  <c r="P8" i="2"/>
  <c r="G9" i="2"/>
  <c r="H11" i="2"/>
  <c r="N12" i="2"/>
  <c r="P12" i="2" s="1"/>
  <c r="O8" i="2"/>
  <c r="O9" i="2"/>
  <c r="O12" i="2"/>
  <c r="N7" i="2"/>
  <c r="P7" i="2" s="1"/>
  <c r="H9" i="2"/>
  <c r="H10" i="2"/>
  <c r="N11" i="2"/>
  <c r="H42" i="1"/>
  <c r="H41" i="1"/>
  <c r="F14" i="3"/>
  <c r="H13" i="2"/>
  <c r="G16" i="3"/>
  <c r="G18" i="3" s="1"/>
  <c r="G23" i="3" s="1"/>
  <c r="G25" i="3" s="1"/>
  <c r="G43" i="3"/>
  <c r="F67" i="3"/>
  <c r="H23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H44" i="1"/>
  <c r="O7" i="2"/>
  <c r="H8" i="2"/>
  <c r="N10" i="2"/>
  <c r="G11" i="2"/>
  <c r="P11" i="2" s="1"/>
  <c r="O11" i="2"/>
  <c r="H12" i="2"/>
  <c r="H24" i="1"/>
  <c r="G10" i="2"/>
  <c r="G48" i="3"/>
  <c r="G50" i="3" s="1"/>
  <c r="N9" i="2"/>
  <c r="P9" i="2" s="1"/>
  <c r="G49" i="3"/>
  <c r="G51" i="3" s="1"/>
  <c r="G22" i="3" l="1"/>
  <c r="G24" i="3" s="1"/>
  <c r="B43" i="3"/>
  <c r="B44" i="3" s="1"/>
  <c r="B70" i="3"/>
  <c r="B71" i="3" s="1"/>
  <c r="P10" i="2"/>
  <c r="G75" i="3"/>
  <c r="G77" i="3" s="1"/>
  <c r="G76" i="3"/>
  <c r="G78" i="3" s="1"/>
  <c r="G17" i="3"/>
  <c r="O13" i="2"/>
  <c r="B17" i="3"/>
  <c r="B18" i="3" s="1"/>
  <c r="D26" i="2" l="1"/>
  <c r="D25" i="2"/>
  <c r="E22" i="2"/>
  <c r="D27" i="2"/>
  <c r="D22" i="2"/>
  <c r="E24" i="2"/>
  <c r="E23" i="2"/>
  <c r="D24" i="2"/>
  <c r="D23" i="2"/>
  <c r="E25" i="2"/>
  <c r="E27" i="2"/>
  <c r="E26" i="2"/>
</calcChain>
</file>

<file path=xl/sharedStrings.xml><?xml version="1.0" encoding="utf-8"?>
<sst xmlns="http://schemas.openxmlformats.org/spreadsheetml/2006/main" count="162" uniqueCount="87">
  <si>
    <t>Relative trueness study</t>
  </si>
  <si>
    <t xml:space="preserve"> - Bland-Altman plot</t>
  </si>
  <si>
    <t>Broad range of foods - 5 categories; 3 types per category, 5 replicates= 75 samples</t>
  </si>
  <si>
    <t>In this example: - 2 categories only; 3 types per category, 5 replicates = 30 samples</t>
  </si>
  <si>
    <t>Results are given in log cfu/g</t>
  </si>
  <si>
    <t>Category</t>
  </si>
  <si>
    <t>Type</t>
  </si>
  <si>
    <t>Replicates</t>
  </si>
  <si>
    <t>Sample No.</t>
  </si>
  <si>
    <t>Ref method</t>
  </si>
  <si>
    <t>Alt method</t>
  </si>
  <si>
    <t>Mean</t>
  </si>
  <si>
    <t>Difference</t>
  </si>
  <si>
    <t>Average of difference for category 1</t>
  </si>
  <si>
    <t>Standard deviation of the difference for category 1</t>
  </si>
  <si>
    <t xml:space="preserve"> </t>
  </si>
  <si>
    <t>Average of difference for category 2</t>
  </si>
  <si>
    <t>Standard deviation of the difference for category 2</t>
  </si>
  <si>
    <t>Average of the difference for all categories, D</t>
  </si>
  <si>
    <t>Standard deviation of the difference for all categories, SD</t>
  </si>
  <si>
    <t xml:space="preserve">Upper limit, 95% confidence, = D + 1.96SD </t>
  </si>
  <si>
    <t>Lower limit, 95% confidence = D - 1.96SD</t>
  </si>
  <si>
    <t>For the plot</t>
  </si>
  <si>
    <t>Upper limit</t>
  </si>
  <si>
    <t>lower limit</t>
  </si>
  <si>
    <t>Accuracy Profile: Method Comparison Stydy (MCS)</t>
  </si>
  <si>
    <t>For a broad range of foods:  5 categories, 1 type each category, 6 levels, 5 replicates  analysed with both the reference and the alternative method = 150 samples</t>
  </si>
  <si>
    <t>In this example: 1 categories, 1 type each category, 6 levels, 5 replicates = 30 samples</t>
  </si>
  <si>
    <t>Level</t>
  </si>
  <si>
    <t>Replicates Reference Method</t>
  </si>
  <si>
    <t>Replicates Alternative Method</t>
  </si>
  <si>
    <t>Median</t>
  </si>
  <si>
    <t>SD</t>
  </si>
  <si>
    <t>Bias</t>
  </si>
  <si>
    <t>1 low</t>
  </si>
  <si>
    <t>&lt;2</t>
  </si>
  <si>
    <t>2 low</t>
  </si>
  <si>
    <t>3 intermed</t>
  </si>
  <si>
    <t>4 intermed</t>
  </si>
  <si>
    <t>5 high</t>
  </si>
  <si>
    <t>6 high</t>
  </si>
  <si>
    <t>Combined standard deviation</t>
  </si>
  <si>
    <r>
      <t>Combined standard deviation, s</t>
    </r>
    <r>
      <rPr>
        <vertAlign val="subscript"/>
        <sz val="11"/>
        <color theme="1"/>
        <rFont val="Calibri"/>
        <family val="2"/>
        <scheme val="minor"/>
      </rPr>
      <t xml:space="preserve"> alt</t>
    </r>
  </si>
  <si>
    <t>Limits, using Student- t distribution for a chosen probability (80% is chosen,  and the degrees of freedom is 24)</t>
  </si>
  <si>
    <r>
      <t xml:space="preserve">The Upper and lower limit for each replicate are B </t>
    </r>
    <r>
      <rPr>
        <sz val="11"/>
        <color theme="1"/>
        <rFont val="Calibri"/>
        <family val="2"/>
      </rPr>
      <t>±T·s</t>
    </r>
    <r>
      <rPr>
        <vertAlign val="subscript"/>
        <sz val="11"/>
        <color theme="1"/>
        <rFont val="Calibri"/>
        <family val="2"/>
      </rPr>
      <t xml:space="preserve">alt </t>
    </r>
    <r>
      <rPr>
        <sz val="11"/>
        <color theme="1"/>
        <rFont val="Calibri"/>
        <family val="2"/>
      </rPr>
      <t xml:space="preserve">√ </t>
    </r>
    <r>
      <rPr>
        <sz val="11"/>
        <color theme="1"/>
        <rFont val="Calibri"/>
        <family val="2"/>
        <scheme val="minor"/>
      </rPr>
      <t>(1+1/n)</t>
    </r>
  </si>
  <si>
    <t>T(0,20;24)</t>
  </si>
  <si>
    <t xml:space="preserve">Ref median </t>
  </si>
  <si>
    <t>Upper level</t>
  </si>
  <si>
    <t>Lower level</t>
  </si>
  <si>
    <t>Upper AL</t>
  </si>
  <si>
    <t>Lower AL</t>
  </si>
  <si>
    <t>Accuracy Profile: Interlaboratory Study (ILS)</t>
  </si>
  <si>
    <t>The results are given in log10 cfu/g</t>
  </si>
  <si>
    <t>Low Level</t>
  </si>
  <si>
    <t>Lab</t>
  </si>
  <si>
    <t>Reference</t>
  </si>
  <si>
    <t>Alternative</t>
  </si>
  <si>
    <t>A</t>
  </si>
  <si>
    <t>B</t>
  </si>
  <si>
    <r>
      <t>(A-B)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</si>
  <si>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Mean, Ref, X</t>
  </si>
  <si>
    <r>
      <t>X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</si>
  <si>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Mean, Alt, y</t>
  </si>
  <si>
    <r>
      <t>y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</si>
  <si>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Sum</t>
  </si>
  <si>
    <t>Sr</t>
  </si>
  <si>
    <t>sL^2</t>
  </si>
  <si>
    <t>SR</t>
  </si>
  <si>
    <t>Bias (y-x)</t>
  </si>
  <si>
    <r>
      <t xml:space="preserve">y </t>
    </r>
    <r>
      <rPr>
        <sz val="11"/>
        <rFont val="Calibri"/>
        <family val="2"/>
      </rPr>
      <t>± k s</t>
    </r>
  </si>
  <si>
    <t>k=1,4 t.test T(0,2;7)</t>
  </si>
  <si>
    <t>U= y+ks</t>
  </si>
  <si>
    <t>L=y-ks</t>
  </si>
  <si>
    <t>U-x</t>
  </si>
  <si>
    <t>L-x</t>
  </si>
  <si>
    <t>Medium Level</t>
  </si>
  <si>
    <t>if &lt; 0, then omitted</t>
  </si>
  <si>
    <t>U</t>
  </si>
  <si>
    <t>L</t>
  </si>
  <si>
    <t>High Level</t>
  </si>
  <si>
    <t>sum</t>
  </si>
  <si>
    <r>
      <t>sL</t>
    </r>
    <r>
      <rPr>
        <vertAlign val="superscript"/>
        <sz val="11"/>
        <rFont val="Calibri"/>
        <family val="2"/>
        <scheme val="minor"/>
      </rPr>
      <t>2</t>
    </r>
  </si>
  <si>
    <t>Summary of the results</t>
  </si>
  <si>
    <t>Levels</t>
  </si>
  <si>
    <t>Alt. Method</t>
  </si>
  <si>
    <t>AL 0,5</t>
  </si>
  <si>
    <t>AL -0,5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</si>
</sst>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0" fillId="3" borderId="0" xfId="0" applyFill="1"/>
    <xf numFmtId="0" fontId="0" fillId="5" borderId="0" xfId="0" applyFill="1"/>
    <xf numFmtId="0" fontId="0" fillId="6" borderId="0" xfId="0" applyFill="1"/>
    <xf numFmtId="2" fontId="0" fillId="7" borderId="0" xfId="0" applyNumberFormat="1" applyFill="1"/>
    <xf numFmtId="2" fontId="0" fillId="4" borderId="0" xfId="0" applyNumberFormat="1" applyFill="1"/>
    <xf numFmtId="0" fontId="0" fillId="9" borderId="0" xfId="0" applyFill="1"/>
    <xf numFmtId="164" fontId="0" fillId="7" borderId="0" xfId="0" applyNumberFormat="1" applyFill="1"/>
    <xf numFmtId="164" fontId="0" fillId="4" borderId="0" xfId="0" applyNumberFormat="1" applyFill="1"/>
    <xf numFmtId="164" fontId="0" fillId="0" borderId="0" xfId="0" applyNumberFormat="1"/>
    <xf numFmtId="1" fontId="0" fillId="0" borderId="0" xfId="0" applyNumberFormat="1"/>
    <xf numFmtId="0" fontId="0" fillId="8" borderId="0" xfId="0" applyFill="1"/>
    <xf numFmtId="164" fontId="1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164" fontId="0" fillId="0" borderId="0" xfId="0" applyNumberForma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3"/>
    </xf>
    <xf numFmtId="0" fontId="1" fillId="8" borderId="6" xfId="0" applyFont="1" applyFill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 wrapText="1"/>
    </xf>
    <xf numFmtId="0" fontId="0" fillId="8" borderId="6" xfId="0" applyFill="1" applyBorder="1" applyAlignment="1">
      <alignment vertical="center" wrapText="1"/>
    </xf>
    <xf numFmtId="2" fontId="0" fillId="8" borderId="6" xfId="0" applyNumberFormat="1" applyFill="1" applyBorder="1"/>
    <xf numFmtId="165" fontId="0" fillId="8" borderId="6" xfId="0" applyNumberFormat="1" applyFill="1" applyBorder="1"/>
    <xf numFmtId="0" fontId="0" fillId="0" borderId="6" xfId="0" applyBorder="1" applyAlignment="1">
      <alignment vertical="center" wrapText="1"/>
    </xf>
    <xf numFmtId="2" fontId="0" fillId="0" borderId="6" xfId="0" applyNumberFormat="1" applyBorder="1"/>
    <xf numFmtId="165" fontId="0" fillId="8" borderId="6" xfId="0" applyNumberFormat="1" applyFill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2" fontId="0" fillId="10" borderId="0" xfId="0" applyNumberFormat="1" applyFill="1" applyAlignment="1">
      <alignment horizontal="center" vertical="center" wrapText="1"/>
    </xf>
    <xf numFmtId="164" fontId="0" fillId="10" borderId="0" xfId="0" applyNumberFormat="1" applyFill="1" applyAlignment="1">
      <alignment horizontal="center" vertical="center" wrapText="1"/>
    </xf>
    <xf numFmtId="0" fontId="9" fillId="11" borderId="0" xfId="0" applyFont="1" applyFill="1" applyAlignment="1">
      <alignment horizontal="left" vertical="center" wrapText="1" indent="3"/>
    </xf>
    <xf numFmtId="0" fontId="9" fillId="10" borderId="0" xfId="0" applyFont="1" applyFill="1" applyAlignment="1">
      <alignment horizontal="left" vertical="center" wrapText="1" indent="3"/>
    </xf>
    <xf numFmtId="0" fontId="0" fillId="8" borderId="0" xfId="0" applyFill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2" fontId="0" fillId="8" borderId="6" xfId="0" applyNumberFormat="1" applyFill="1" applyBorder="1" applyAlignment="1">
      <alignment horizontal="center"/>
    </xf>
    <xf numFmtId="165" fontId="0" fillId="8" borderId="6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5" fontId="0" fillId="8" borderId="6" xfId="0" applyNumberFormat="1" applyFill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0" fontId="4" fillId="12" borderId="1" xfId="0" applyFont="1" applyFill="1" applyBorder="1"/>
    <xf numFmtId="0" fontId="0" fillId="12" borderId="1" xfId="0" applyFill="1" applyBorder="1"/>
    <xf numFmtId="0" fontId="3" fillId="12" borderId="1" xfId="0" applyFont="1" applyFill="1" applyBorder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 inden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10" borderId="0" xfId="0" applyNumberFormat="1" applyFill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Bland-Altman Plot</a:t>
            </a:r>
          </a:p>
        </c:rich>
      </c:tx>
      <c:layout>
        <c:manualLayout>
          <c:xMode val="edge"/>
          <c:yMode val="edge"/>
          <c:x val="0.22625699912510935"/>
          <c:y val="3.2407407407407413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Category 1</c:v>
          </c:tx>
          <c:spPr>
            <a:ln w="28575">
              <a:noFill/>
            </a:ln>
          </c:spPr>
          <c:xVal>
            <c:numRef>
              <c:f>'Bland-altman Plot'!$G$8:$G$22</c:f>
              <c:numCache>
                <c:formatCode>0.00</c:formatCode>
                <c:ptCount val="15"/>
                <c:pt idx="0">
                  <c:v>2.1901056208558032</c:v>
                </c:pt>
                <c:pt idx="1">
                  <c:v>3.1087419721069534</c:v>
                </c:pt>
                <c:pt idx="2">
                  <c:v>3.0937603604182318</c:v>
                </c:pt>
                <c:pt idx="3">
                  <c:v>3.6975757957522712</c:v>
                </c:pt>
                <c:pt idx="4">
                  <c:v>3.5284524256682364</c:v>
                </c:pt>
                <c:pt idx="5">
                  <c:v>3.8011385421500963</c:v>
                </c:pt>
                <c:pt idx="6">
                  <c:v>5.1335858642015069</c:v>
                </c:pt>
                <c:pt idx="7">
                  <c:v>4.7296962438796157</c:v>
                </c:pt>
                <c:pt idx="8">
                  <c:v>4.7864358011002404</c:v>
                </c:pt>
                <c:pt idx="9">
                  <c:v>4.9101664224497048</c:v>
                </c:pt>
                <c:pt idx="10">
                  <c:v>3.3661968799114845</c:v>
                </c:pt>
                <c:pt idx="11">
                  <c:v>3.0085166696493904</c:v>
                </c:pt>
                <c:pt idx="12">
                  <c:v>4.2172844520170996</c:v>
                </c:pt>
                <c:pt idx="13">
                  <c:v>3.8650680019983388</c:v>
                </c:pt>
                <c:pt idx="14">
                  <c:v>4.462139643030941</c:v>
                </c:pt>
              </c:numCache>
            </c:numRef>
          </c:xVal>
          <c:yVal>
            <c:numRef>
              <c:f>'Bland-altman Plot'!$H$8:$H$22</c:f>
              <c:numCache>
                <c:formatCode>0.00</c:formatCode>
                <c:ptCount val="15"/>
                <c:pt idx="0">
                  <c:v>0.38021124171160592</c:v>
                </c:pt>
                <c:pt idx="1">
                  <c:v>-0.13469857389745643</c:v>
                </c:pt>
                <c:pt idx="2">
                  <c:v>0.10473535052001326</c:v>
                </c:pt>
                <c:pt idx="3">
                  <c:v>6.9635928141394743E-2</c:v>
                </c:pt>
                <c:pt idx="4">
                  <c:v>-0.10266234189714751</c:v>
                </c:pt>
                <c:pt idx="5">
                  <c:v>7.5421097174317886E-2</c:v>
                </c:pt>
                <c:pt idx="6">
                  <c:v>7.3351702386901252E-2</c:v>
                </c:pt>
                <c:pt idx="7">
                  <c:v>9.6910013008056239E-2</c:v>
                </c:pt>
                <c:pt idx="8">
                  <c:v>9.2146223211992506E-2</c:v>
                </c:pt>
                <c:pt idx="9">
                  <c:v>5.870566033782687E-2</c:v>
                </c:pt>
                <c:pt idx="10">
                  <c:v>-0.22184874961635659</c:v>
                </c:pt>
                <c:pt idx="11">
                  <c:v>0.21085336531489318</c:v>
                </c:pt>
                <c:pt idx="12">
                  <c:v>-2.6328938722349093E-2</c:v>
                </c:pt>
                <c:pt idx="13">
                  <c:v>6.5118178584205211E-2</c:v>
                </c:pt>
                <c:pt idx="14">
                  <c:v>0.16385680263866931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AC-4756-AE59-7F7FB4496592}"/>
            </c:ext>
          </c:extLst>
        </c:ser>
        <c:ser>
          <c:idx val="1"/>
          <c:order val="1"/>
          <c:tx>
            <c:v>Category 2</c:v>
          </c:tx>
          <c:spPr>
            <a:ln w="28575">
              <a:noFill/>
            </a:ln>
          </c:spPr>
          <c:xVal>
            <c:numRef>
              <c:f>'Bland-altman Plot'!$G$26:$G$40</c:f>
              <c:numCache>
                <c:formatCode>0.00</c:formatCode>
                <c:ptCount val="15"/>
                <c:pt idx="0">
                  <c:v>3.06740718516023</c:v>
                </c:pt>
                <c:pt idx="1">
                  <c:v>3.917051327856397</c:v>
                </c:pt>
                <c:pt idx="2">
                  <c:v>4.1234215611256602</c:v>
                </c:pt>
                <c:pt idx="3">
                  <c:v>4.2145853393969865</c:v>
                </c:pt>
                <c:pt idx="4">
                  <c:v>4.3837560320799458</c:v>
                </c:pt>
                <c:pt idx="5">
                  <c:v>4.1859216776833481</c:v>
                </c:pt>
                <c:pt idx="6">
                  <c:v>4.2156818820794939</c:v>
                </c:pt>
                <c:pt idx="7">
                  <c:v>5.6643732289364861</c:v>
                </c:pt>
                <c:pt idx="8">
                  <c:v>3.5</c:v>
                </c:pt>
                <c:pt idx="9">
                  <c:v>5.234114569480866</c:v>
                </c:pt>
                <c:pt idx="10">
                  <c:v>4.1846079287050717</c:v>
                </c:pt>
                <c:pt idx="11">
                  <c:v>3.358835251501131</c:v>
                </c:pt>
                <c:pt idx="12">
                  <c:v>4.2235790156711097</c:v>
                </c:pt>
                <c:pt idx="13">
                  <c:v>2.8053300815449398</c:v>
                </c:pt>
                <c:pt idx="14">
                  <c:v>3.421304619805281</c:v>
                </c:pt>
              </c:numCache>
            </c:numRef>
          </c:xVal>
          <c:yVal>
            <c:numRef>
              <c:f>'Bland-altman Plot'!$H$26:$H$40</c:f>
              <c:numCache>
                <c:formatCode>0.00</c:formatCode>
                <c:ptCount val="15"/>
                <c:pt idx="0">
                  <c:v>5.2029000004010229E-2</c:v>
                </c:pt>
                <c:pt idx="1">
                  <c:v>8.3980128929393327E-2</c:v>
                </c:pt>
                <c:pt idx="2">
                  <c:v>0.32876033760913304</c:v>
                </c:pt>
                <c:pt idx="3">
                  <c:v>0.10046496722509968</c:v>
                </c:pt>
                <c:pt idx="4">
                  <c:v>1.4358150046867024E-2</c:v>
                </c:pt>
                <c:pt idx="5">
                  <c:v>-2.5470818542148166E-2</c:v>
                </c:pt>
                <c:pt idx="6">
                  <c:v>7.9181246047625109E-2</c:v>
                </c:pt>
                <c:pt idx="7">
                  <c:v>8.6393894322901232E-2</c:v>
                </c:pt>
                <c:pt idx="8">
                  <c:v>-0.39794000867203749</c:v>
                </c:pt>
                <c:pt idx="9">
                  <c:v>-2.2796196666566182E-2</c:v>
                </c:pt>
                <c:pt idx="10">
                  <c:v>0.14132915279646951</c:v>
                </c:pt>
                <c:pt idx="11">
                  <c:v>0.20712549279565007</c:v>
                </c:pt>
                <c:pt idx="12">
                  <c:v>3.8918066030369403E-2</c:v>
                </c:pt>
                <c:pt idx="13">
                  <c:v>-5.4357662322592759E-2</c:v>
                </c:pt>
                <c:pt idx="14">
                  <c:v>8.2186756187350163E-2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AC-4756-AE59-7F7FB4496592}"/>
            </c:ext>
          </c:extLst>
        </c:ser>
        <c:ser>
          <c:idx val="2"/>
          <c:order val="2"/>
          <c:tx>
            <c:v>Upper Limit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'Bland-altman Plot'!$A$50:$A$65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'Bland-altman Plot'!$B$50:$B$64</c:f>
              <c:numCache>
                <c:formatCode>General</c:formatCode>
                <c:ptCount val="15"/>
                <c:pt idx="0">
                  <c:v>0.34</c:v>
                </c:pt>
                <c:pt idx="1">
                  <c:v>0.34</c:v>
                </c:pt>
                <c:pt idx="2">
                  <c:v>0.34</c:v>
                </c:pt>
                <c:pt idx="3">
                  <c:v>0.34</c:v>
                </c:pt>
                <c:pt idx="4">
                  <c:v>0.34</c:v>
                </c:pt>
                <c:pt idx="5">
                  <c:v>0.34</c:v>
                </c:pt>
                <c:pt idx="6">
                  <c:v>0.34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AC-4756-AE59-7F7FB4496592}"/>
            </c:ext>
          </c:extLst>
        </c:ser>
        <c:ser>
          <c:idx val="3"/>
          <c:order val="3"/>
          <c:tx>
            <c:v>Lower limit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'Bland-altman Plot'!$A$50:$A$64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'Bland-altman Plot'!$C$50:$C$64</c:f>
              <c:numCache>
                <c:formatCode>General</c:formatCode>
                <c:ptCount val="15"/>
                <c:pt idx="0">
                  <c:v>-0.24</c:v>
                </c:pt>
                <c:pt idx="1">
                  <c:v>-0.24</c:v>
                </c:pt>
                <c:pt idx="2">
                  <c:v>-0.24</c:v>
                </c:pt>
                <c:pt idx="3">
                  <c:v>-0.24</c:v>
                </c:pt>
                <c:pt idx="4">
                  <c:v>-0.24</c:v>
                </c:pt>
                <c:pt idx="5">
                  <c:v>-0.24</c:v>
                </c:pt>
                <c:pt idx="6">
                  <c:v>-0.24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AC-4756-AE59-7F7FB4496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36800"/>
        <c:axId val="69838720"/>
      </c:scatterChart>
      <c:valAx>
        <c:axId val="69836800"/>
        <c:scaling>
          <c:orientation val="minMax"/>
          <c:max val="6"/>
          <c:min val="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</a:t>
                </a:r>
                <a:r>
                  <a:rPr lang="en-US" baseline="0"/>
                  <a:t> of the results in log cfu/g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spPr>
          <a:noFill/>
          <a:ln cap="sq"/>
        </c:spPr>
        <c:crossAx val="69838720"/>
        <c:crossesAt val="0"/>
        <c:crossBetween val="midCat"/>
        <c:majorUnit val="1"/>
      </c:valAx>
      <c:valAx>
        <c:axId val="69838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difference in log cfu/g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69836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Accuracy</a:t>
            </a:r>
            <a:r>
              <a:rPr lang="en-US" baseline="0"/>
              <a:t> Profile one category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Category1</c:v>
          </c:tx>
          <c:cat>
            <c:numRef>
              <c:f>'Accuracy Profile MCS'!$B$22:$B$27</c:f>
              <c:numCache>
                <c:formatCode>0.00</c:formatCode>
                <c:ptCount val="6"/>
                <c:pt idx="0">
                  <c:v>2.1800000000000002</c:v>
                </c:pt>
                <c:pt idx="1">
                  <c:v>2.4232458739368079</c:v>
                </c:pt>
                <c:pt idx="2">
                  <c:v>3.6901960800285138</c:v>
                </c:pt>
                <c:pt idx="3">
                  <c:v>3.6532125137753435</c:v>
                </c:pt>
                <c:pt idx="4">
                  <c:v>5.3979400086720375</c:v>
                </c:pt>
                <c:pt idx="5">
                  <c:v>5.4149733479708182</c:v>
                </c:pt>
              </c:numCache>
            </c:numRef>
          </c:cat>
          <c:val>
            <c:numRef>
              <c:f>'Accuracy Profile MCS'!$C$22:$C$27</c:f>
              <c:numCache>
                <c:formatCode>0.00</c:formatCode>
                <c:ptCount val="6"/>
                <c:pt idx="0">
                  <c:v>7.5272505103305853E-2</c:v>
                </c:pt>
                <c:pt idx="1">
                  <c:v>-8.0823193114601732E-2</c:v>
                </c:pt>
                <c:pt idx="2">
                  <c:v>1.7374096069422418E-2</c:v>
                </c:pt>
                <c:pt idx="3">
                  <c:v>-0.22184874961635614</c:v>
                </c:pt>
                <c:pt idx="4">
                  <c:v>7.9181246047625109E-2</c:v>
                </c:pt>
                <c:pt idx="5">
                  <c:v>-5.3245511953225133E-2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0-4D74-A9DC-A430E544ADD6}"/>
            </c:ext>
          </c:extLst>
        </c:ser>
        <c:ser>
          <c:idx val="2"/>
          <c:order val="2"/>
          <c:tx>
            <c:v>Lower Level, L</c:v>
          </c:tx>
          <c:cat>
            <c:numRef>
              <c:f>'Accuracy Profile MCS'!$B$22:$B$27</c:f>
              <c:numCache>
                <c:formatCode>0.00</c:formatCode>
                <c:ptCount val="6"/>
                <c:pt idx="0">
                  <c:v>2.1800000000000002</c:v>
                </c:pt>
                <c:pt idx="1">
                  <c:v>2.4232458739368079</c:v>
                </c:pt>
                <c:pt idx="2">
                  <c:v>3.6901960800285138</c:v>
                </c:pt>
                <c:pt idx="3">
                  <c:v>3.6532125137753435</c:v>
                </c:pt>
                <c:pt idx="4">
                  <c:v>5.3979400086720375</c:v>
                </c:pt>
                <c:pt idx="5">
                  <c:v>5.4149733479708182</c:v>
                </c:pt>
              </c:numCache>
            </c:numRef>
          </c:cat>
          <c:val>
            <c:numRef>
              <c:f>'Accuracy Profile MCS'!$E$22:$E$27</c:f>
              <c:numCache>
                <c:formatCode>0.00</c:formatCode>
                <c:ptCount val="6"/>
                <c:pt idx="0">
                  <c:v>-0.17577628323915379</c:v>
                </c:pt>
                <c:pt idx="1">
                  <c:v>-0.33187198145706137</c:v>
                </c:pt>
                <c:pt idx="2">
                  <c:v>-0.23367469227303722</c:v>
                </c:pt>
                <c:pt idx="3">
                  <c:v>-0.47289753795881578</c:v>
                </c:pt>
                <c:pt idx="4">
                  <c:v>-0.17186754229483453</c:v>
                </c:pt>
                <c:pt idx="5">
                  <c:v>-0.30429430029568477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0-4D74-A9DC-A430E544ADD6}"/>
            </c:ext>
          </c:extLst>
        </c:ser>
        <c:ser>
          <c:idx val="3"/>
          <c:order val="3"/>
          <c:tx>
            <c:v>upper AL</c:v>
          </c:tx>
          <c:cat>
            <c:numRef>
              <c:f>'Accuracy Profile MCS'!$B$22:$B$27</c:f>
              <c:numCache>
                <c:formatCode>0.00</c:formatCode>
                <c:ptCount val="6"/>
                <c:pt idx="0">
                  <c:v>2.1800000000000002</c:v>
                </c:pt>
                <c:pt idx="1">
                  <c:v>2.4232458739368079</c:v>
                </c:pt>
                <c:pt idx="2">
                  <c:v>3.6901960800285138</c:v>
                </c:pt>
                <c:pt idx="3">
                  <c:v>3.6532125137753435</c:v>
                </c:pt>
                <c:pt idx="4">
                  <c:v>5.3979400086720375</c:v>
                </c:pt>
                <c:pt idx="5">
                  <c:v>5.4149733479708182</c:v>
                </c:pt>
              </c:numCache>
            </c:numRef>
          </c:cat>
          <c:val>
            <c:numRef>
              <c:f>'Accuracy Profile MCS'!$F$22:$F$27</c:f>
              <c:numCache>
                <c:formatCode>General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0-4D74-A9DC-A430E544ADD6}"/>
            </c:ext>
          </c:extLst>
        </c:ser>
        <c:ser>
          <c:idx val="4"/>
          <c:order val="4"/>
          <c:tx>
            <c:v>Lower AL</c:v>
          </c:tx>
          <c:cat>
            <c:numRef>
              <c:f>'Accuracy Profile MCS'!$B$22:$B$27</c:f>
              <c:numCache>
                <c:formatCode>0.00</c:formatCode>
                <c:ptCount val="6"/>
                <c:pt idx="0">
                  <c:v>2.1800000000000002</c:v>
                </c:pt>
                <c:pt idx="1">
                  <c:v>2.4232458739368079</c:v>
                </c:pt>
                <c:pt idx="2">
                  <c:v>3.6901960800285138</c:v>
                </c:pt>
                <c:pt idx="3">
                  <c:v>3.6532125137753435</c:v>
                </c:pt>
                <c:pt idx="4">
                  <c:v>5.3979400086720375</c:v>
                </c:pt>
                <c:pt idx="5">
                  <c:v>5.4149733479708182</c:v>
                </c:pt>
              </c:numCache>
            </c:numRef>
          </c:cat>
          <c:val>
            <c:numRef>
              <c:f>'Accuracy Profile MCS'!$G$22:$G$27</c:f>
              <c:numCache>
                <c:formatCode>General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00-4D74-A9DC-A430E544ADD6}"/>
            </c:ext>
          </c:extLst>
        </c:ser>
        <c:ser>
          <c:idx val="1"/>
          <c:order val="1"/>
          <c:tx>
            <c:v>Upper Level, U</c:v>
          </c:tx>
          <c:cat>
            <c:numRef>
              <c:f>'Accuracy Profile MCS'!$B$22:$B$27</c:f>
              <c:numCache>
                <c:formatCode>0.00</c:formatCode>
                <c:ptCount val="6"/>
                <c:pt idx="0">
                  <c:v>2.1800000000000002</c:v>
                </c:pt>
                <c:pt idx="1">
                  <c:v>2.4232458739368079</c:v>
                </c:pt>
                <c:pt idx="2">
                  <c:v>3.6901960800285138</c:v>
                </c:pt>
                <c:pt idx="3">
                  <c:v>3.6532125137753435</c:v>
                </c:pt>
                <c:pt idx="4">
                  <c:v>5.3979400086720375</c:v>
                </c:pt>
                <c:pt idx="5">
                  <c:v>5.4149733479708182</c:v>
                </c:pt>
              </c:numCache>
            </c:numRef>
          </c:cat>
          <c:val>
            <c:numRef>
              <c:f>'Accuracy Profile MCS'!$D$22:$D$27</c:f>
              <c:numCache>
                <c:formatCode>0.00</c:formatCode>
                <c:ptCount val="6"/>
                <c:pt idx="0">
                  <c:v>0.32632129344576549</c:v>
                </c:pt>
                <c:pt idx="1">
                  <c:v>0.17022559522785791</c:v>
                </c:pt>
                <c:pt idx="2">
                  <c:v>0.26842288441188206</c:v>
                </c:pt>
                <c:pt idx="3">
                  <c:v>2.9200038726103494E-2</c:v>
                </c:pt>
                <c:pt idx="4">
                  <c:v>0.33023003439008475</c:v>
                </c:pt>
                <c:pt idx="5">
                  <c:v>0.19780327638923451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00-4D74-A9DC-A430E544A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20544"/>
        <c:axId val="32622464"/>
      </c:lineChart>
      <c:catAx>
        <c:axId val="3262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ref method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2622464"/>
        <c:crosses val="autoZero"/>
        <c:auto val="1"/>
        <c:lblAlgn val="ctr"/>
        <c:lblOffset val="100"/>
        <c:tickMarkSkip val="1"/>
        <c:noMultiLvlLbl val="0"/>
      </c:catAx>
      <c:valAx>
        <c:axId val="326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bias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2620544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Accuracy Profile ILS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26285411198600184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'Accuracy Profile ILS'!$E$83</c:f>
              <c:strCache>
                <c:ptCount val="1"/>
                <c:pt idx="0">
                  <c:v>Bias</c:v>
                </c:pt>
              </c:strCache>
            </c:strRef>
          </c:tx>
          <c:cat>
            <c:numRef>
              <c:f>'Accuracy Profile ILS'!$B$84:$B$86</c:f>
              <c:numCache>
                <c:formatCode>General</c:formatCode>
                <c:ptCount val="3"/>
                <c:pt idx="0">
                  <c:v>2.27</c:v>
                </c:pt>
                <c:pt idx="1">
                  <c:v>3.21</c:v>
                </c:pt>
                <c:pt idx="2">
                  <c:v>4.2</c:v>
                </c:pt>
              </c:numCache>
            </c:numRef>
          </c:cat>
          <c:val>
            <c:numRef>
              <c:f>'Accuracy Profile ILS'!$E$84:$E$86</c:f>
              <c:numCache>
                <c:formatCode>General</c:formatCode>
                <c:ptCount val="3"/>
                <c:pt idx="0">
                  <c:v>-0.06</c:v>
                </c:pt>
                <c:pt idx="1">
                  <c:v>0.05</c:v>
                </c:pt>
                <c:pt idx="2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0-4757-BFE5-4C8E8A8D167F}"/>
            </c:ext>
          </c:extLst>
        </c:ser>
        <c:ser>
          <c:idx val="1"/>
          <c:order val="1"/>
          <c:tx>
            <c:v>Uppper level (U-x)</c:v>
          </c:tx>
          <c:val>
            <c:numRef>
              <c:f>'Accuracy Profile ILS'!$F$84:$F$86</c:f>
              <c:numCache>
                <c:formatCode>General</c:formatCode>
                <c:ptCount val="3"/>
                <c:pt idx="0">
                  <c:v>0.13</c:v>
                </c:pt>
                <c:pt idx="1">
                  <c:v>0.21</c:v>
                </c:pt>
                <c:pt idx="2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0-4757-BFE5-4C8E8A8D167F}"/>
            </c:ext>
          </c:extLst>
        </c:ser>
        <c:ser>
          <c:idx val="2"/>
          <c:order val="2"/>
          <c:tx>
            <c:v>Lower level (L-x)</c:v>
          </c:tx>
          <c:val>
            <c:numRef>
              <c:f>'Accuracy Profile ILS'!$G$84:$G$86</c:f>
              <c:numCache>
                <c:formatCode>General</c:formatCode>
                <c:ptCount val="3"/>
                <c:pt idx="0">
                  <c:v>-0.25</c:v>
                </c:pt>
                <c:pt idx="1">
                  <c:v>-0.11</c:v>
                </c:pt>
                <c:pt idx="2">
                  <c:v>-0.13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0-4757-BFE5-4C8E8A8D167F}"/>
            </c:ext>
          </c:extLst>
        </c:ser>
        <c:ser>
          <c:idx val="3"/>
          <c:order val="3"/>
          <c:tx>
            <c:v>AL +0,5</c:v>
          </c:tx>
          <c:val>
            <c:numRef>
              <c:f>'Accuracy Profile ILS'!$H$84:$H$86</c:f>
              <c:numCache>
                <c:formatCode>General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0-4757-BFE5-4C8E8A8D167F}"/>
            </c:ext>
          </c:extLst>
        </c:ser>
        <c:ser>
          <c:idx val="4"/>
          <c:order val="4"/>
          <c:tx>
            <c:v>AL -0,5</c:v>
          </c:tx>
          <c:val>
            <c:numRef>
              <c:f>'Accuracy Profile ILS'!$I$84:$I$86</c:f>
              <c:numCache>
                <c:formatCode>General</c:formatCode>
                <c:ptCount val="3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0-4757-BFE5-4C8E8A8D1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656"/>
        <c:axId val="70088192"/>
      </c:lineChart>
      <c:catAx>
        <c:axId val="7008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0088192"/>
        <c:crosses val="autoZero"/>
        <c:auto val="1"/>
        <c:lblAlgn val="ctr"/>
        <c:lblOffset val="100"/>
        <c:noMultiLvlLbl val="0"/>
      </c:catAx>
      <c:valAx>
        <c:axId val="7008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bias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0086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528637</xdr:colOff>
      <xdr:row>38</xdr:row>
      <xdr:rowOff>14287</xdr:rowOff>
    </xdr:from>
    <xdr:to>
      <xdr:col>14</xdr:col>
      <xdr:colOff>528637</xdr:colOff>
      <xdr:row>52</xdr:row>
      <xdr:rowOff>90487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28</xdr:row>
      <xdr:rowOff>28575</xdr:rowOff>
    </xdr:from>
    <xdr:to>
      <xdr:col>7</xdr:col>
      <xdr:colOff>9525</xdr:colOff>
      <xdr:row>42</xdr:row>
      <xdr:rowOff>104775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88</xdr:row>
      <xdr:rowOff>52387</xdr:rowOff>
    </xdr:from>
    <xdr:to>
      <xdr:col>8</xdr:col>
      <xdr:colOff>676275</xdr:colOff>
      <xdr:row>103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25" workbookViewId="0">
      <selection activeCell="I56" sqref="I56"/>
    </sheetView>
  </sheetViews>
  <sheetFormatPr defaultColWidth="11.5703125" defaultRowHeight="14.45"/>
  <cols>
    <col min="1" max="1" width="11.5703125" customWidth="1"/>
  </cols>
  <sheetData>
    <row r="1" spans="1:15" ht="32.25" customHeight="1">
      <c r="A1" s="55" t="s">
        <v>0</v>
      </c>
      <c r="B1" s="56"/>
      <c r="C1" s="56"/>
      <c r="D1" s="57" t="s">
        <v>1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21">
      <c r="A2" s="2" t="s">
        <v>2</v>
      </c>
    </row>
    <row r="4" spans="1:15" ht="18.600000000000001">
      <c r="A4" s="1" t="s">
        <v>3</v>
      </c>
    </row>
    <row r="6" spans="1:15">
      <c r="A6" t="s">
        <v>4</v>
      </c>
    </row>
    <row r="7" spans="1:15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G7" s="4" t="s">
        <v>11</v>
      </c>
      <c r="H7" s="4" t="s">
        <v>12</v>
      </c>
    </row>
    <row r="8" spans="1:15">
      <c r="A8">
        <v>1</v>
      </c>
      <c r="B8">
        <v>1</v>
      </c>
      <c r="C8">
        <v>1</v>
      </c>
      <c r="D8">
        <v>1</v>
      </c>
      <c r="E8" s="5">
        <f>LOG(100)</f>
        <v>2</v>
      </c>
      <c r="F8" s="5">
        <f>LOG(240)</f>
        <v>2.3802112417116059</v>
      </c>
      <c r="G8" s="5">
        <f>AVERAGE(E8:F8)</f>
        <v>2.1901056208558032</v>
      </c>
      <c r="H8" s="5">
        <f>F8-E8</f>
        <v>0.38021124171160592</v>
      </c>
    </row>
    <row r="9" spans="1:15">
      <c r="C9">
        <v>2</v>
      </c>
      <c r="D9">
        <v>2</v>
      </c>
      <c r="E9" s="5">
        <f>LOG(1500)</f>
        <v>3.1760912590556813</v>
      </c>
      <c r="F9" s="5">
        <f>LOG(1100)</f>
        <v>3.0413926851582249</v>
      </c>
      <c r="G9" s="5">
        <f t="shared" ref="G9:G22" si="0">AVERAGE(E9:F9)</f>
        <v>3.1087419721069534</v>
      </c>
      <c r="H9" s="5">
        <f t="shared" ref="H9:H22" si="1">F9-E9</f>
        <v>-0.13469857389745643</v>
      </c>
    </row>
    <row r="10" spans="1:15">
      <c r="C10">
        <v>3</v>
      </c>
      <c r="D10">
        <v>3</v>
      </c>
      <c r="E10" s="5">
        <f>LOG(1100)</f>
        <v>3.0413926851582249</v>
      </c>
      <c r="F10" s="5">
        <f>LOG(1400)</f>
        <v>3.1461280356782382</v>
      </c>
      <c r="G10" s="5">
        <f t="shared" si="0"/>
        <v>3.0937603604182318</v>
      </c>
      <c r="H10" s="5">
        <f t="shared" si="1"/>
        <v>0.10473535052001326</v>
      </c>
    </row>
    <row r="11" spans="1:15">
      <c r="C11">
        <v>4</v>
      </c>
      <c r="D11">
        <v>4</v>
      </c>
      <c r="E11" s="5">
        <f>LOG(4600)</f>
        <v>3.6627578316815739</v>
      </c>
      <c r="F11" s="5">
        <f>LOG(5400)</f>
        <v>3.7323937598229686</v>
      </c>
      <c r="G11" s="5">
        <f t="shared" si="0"/>
        <v>3.6975757957522712</v>
      </c>
      <c r="H11" s="5">
        <f t="shared" si="1"/>
        <v>6.9635928141394743E-2</v>
      </c>
    </row>
    <row r="12" spans="1:15">
      <c r="C12">
        <v>5</v>
      </c>
      <c r="D12">
        <v>5</v>
      </c>
      <c r="E12" s="5">
        <f>LOG(3800)</f>
        <v>3.5797835966168101</v>
      </c>
      <c r="F12" s="5">
        <f>LOG(3000)</f>
        <v>3.4771212547196626</v>
      </c>
      <c r="G12" s="5">
        <f t="shared" si="0"/>
        <v>3.5284524256682364</v>
      </c>
      <c r="H12" s="5">
        <f t="shared" si="1"/>
        <v>-0.10266234189714751</v>
      </c>
    </row>
    <row r="13" spans="1:15">
      <c r="B13">
        <v>2</v>
      </c>
      <c r="C13">
        <v>1</v>
      </c>
      <c r="D13">
        <v>6</v>
      </c>
      <c r="E13" s="5">
        <f>LOG(5800)</f>
        <v>3.7634279935629373</v>
      </c>
      <c r="F13" s="5">
        <f>LOG(6900)</f>
        <v>3.8388490907372552</v>
      </c>
      <c r="G13" s="5">
        <f t="shared" si="0"/>
        <v>3.8011385421500963</v>
      </c>
      <c r="H13" s="5">
        <f t="shared" si="1"/>
        <v>7.5421097174317886E-2</v>
      </c>
    </row>
    <row r="14" spans="1:15">
      <c r="C14">
        <v>2</v>
      </c>
      <c r="D14">
        <v>7</v>
      </c>
      <c r="E14" s="5">
        <f>LOG(125000)</f>
        <v>5.0969100130080562</v>
      </c>
      <c r="F14" s="5">
        <f>LOG(148000)</f>
        <v>5.1702617153949575</v>
      </c>
      <c r="G14" s="5">
        <f t="shared" si="0"/>
        <v>5.1335858642015069</v>
      </c>
      <c r="H14" s="5">
        <f t="shared" si="1"/>
        <v>7.3351702386901252E-2</v>
      </c>
    </row>
    <row r="15" spans="1:15">
      <c r="C15">
        <v>3</v>
      </c>
      <c r="D15">
        <v>8</v>
      </c>
      <c r="E15" s="5">
        <f>LOG(48000)</f>
        <v>4.6812412373755876</v>
      </c>
      <c r="F15" s="5">
        <f>LOG(60000)</f>
        <v>4.7781512503836439</v>
      </c>
      <c r="G15" s="5">
        <f t="shared" si="0"/>
        <v>4.7296962438796157</v>
      </c>
      <c r="H15" s="5">
        <f t="shared" si="1"/>
        <v>9.6910013008056239E-2</v>
      </c>
    </row>
    <row r="16" spans="1:15">
      <c r="C16">
        <v>4</v>
      </c>
      <c r="D16">
        <v>9</v>
      </c>
      <c r="E16" s="5">
        <f>LOG(55000)</f>
        <v>4.7403626894942441</v>
      </c>
      <c r="F16" s="5">
        <f>LOG(68000)</f>
        <v>4.8325089127062366</v>
      </c>
      <c r="G16" s="5">
        <f t="shared" si="0"/>
        <v>4.7864358011002404</v>
      </c>
      <c r="H16" s="5">
        <f t="shared" si="1"/>
        <v>9.2146223211992506E-2</v>
      </c>
    </row>
    <row r="17" spans="1:9">
      <c r="C17">
        <v>5</v>
      </c>
      <c r="D17">
        <v>10</v>
      </c>
      <c r="E17" s="5">
        <f>LOG(76000)</f>
        <v>4.8808135922807914</v>
      </c>
      <c r="F17" s="5">
        <f>LOG(87000)</f>
        <v>4.9395192526186182</v>
      </c>
      <c r="G17" s="5">
        <f t="shared" si="0"/>
        <v>4.9101664224497048</v>
      </c>
      <c r="H17" s="5">
        <f t="shared" si="1"/>
        <v>5.870566033782687E-2</v>
      </c>
    </row>
    <row r="18" spans="1:9">
      <c r="B18">
        <v>3</v>
      </c>
      <c r="C18">
        <v>1</v>
      </c>
      <c r="D18">
        <v>11</v>
      </c>
      <c r="E18" s="5">
        <f>LOG(3000)</f>
        <v>3.4771212547196626</v>
      </c>
      <c r="F18" s="5">
        <f>LOG(1800)</f>
        <v>3.255272505103306</v>
      </c>
      <c r="G18" s="5">
        <f t="shared" si="0"/>
        <v>3.3661968799114845</v>
      </c>
      <c r="H18" s="5">
        <f t="shared" si="1"/>
        <v>-0.22184874961635659</v>
      </c>
    </row>
    <row r="19" spans="1:9">
      <c r="C19">
        <v>2</v>
      </c>
      <c r="D19">
        <v>12</v>
      </c>
      <c r="E19" s="5">
        <f>LOG(800)</f>
        <v>2.9030899869919438</v>
      </c>
      <c r="F19" s="5">
        <f>LOG(1300)</f>
        <v>3.1139433523068369</v>
      </c>
      <c r="G19" s="5">
        <f t="shared" si="0"/>
        <v>3.0085166696493904</v>
      </c>
      <c r="H19" s="5">
        <f t="shared" si="1"/>
        <v>0.21085336531489318</v>
      </c>
    </row>
    <row r="20" spans="1:9">
      <c r="C20">
        <v>3</v>
      </c>
      <c r="D20">
        <v>13</v>
      </c>
      <c r="E20" s="5">
        <f>LOG(17000)</f>
        <v>4.2304489213782741</v>
      </c>
      <c r="F20" s="5">
        <f>LOG(16000)</f>
        <v>4.204119982655925</v>
      </c>
      <c r="G20" s="5">
        <f t="shared" si="0"/>
        <v>4.2172844520170996</v>
      </c>
      <c r="H20" s="5">
        <f t="shared" si="1"/>
        <v>-2.6328938722349093E-2</v>
      </c>
    </row>
    <row r="21" spans="1:9">
      <c r="C21">
        <v>4</v>
      </c>
      <c r="D21">
        <v>14</v>
      </c>
      <c r="E21" s="5">
        <f>LOG(6800)</f>
        <v>3.8325089127062362</v>
      </c>
      <c r="F21" s="5">
        <f>LOG(7900)</f>
        <v>3.8976270912904414</v>
      </c>
      <c r="G21" s="5">
        <f t="shared" si="0"/>
        <v>3.8650680019983388</v>
      </c>
      <c r="H21" s="5">
        <f t="shared" si="1"/>
        <v>6.5118178584205211E-2</v>
      </c>
    </row>
    <row r="22" spans="1:9">
      <c r="C22">
        <v>5</v>
      </c>
      <c r="D22">
        <v>15</v>
      </c>
      <c r="E22" s="5">
        <f>LOG(24000)</f>
        <v>4.3802112417116064</v>
      </c>
      <c r="F22" s="5">
        <f>LOG(35000)</f>
        <v>4.5440680443502757</v>
      </c>
      <c r="G22" s="5">
        <f t="shared" si="0"/>
        <v>4.462139643030941</v>
      </c>
      <c r="H22" s="5">
        <f t="shared" si="1"/>
        <v>0.16385680263866931</v>
      </c>
    </row>
    <row r="23" spans="1:9">
      <c r="A23" t="s">
        <v>13</v>
      </c>
      <c r="H23" s="6">
        <f>AVERAGE(H8:H22)</f>
        <v>6.0360463926437784E-2</v>
      </c>
    </row>
    <row r="24" spans="1:9">
      <c r="A24" t="s">
        <v>14</v>
      </c>
      <c r="H24" s="6">
        <f>STDEV(H8:H22)</f>
        <v>0.14448628697725285</v>
      </c>
    </row>
    <row r="25" spans="1:9">
      <c r="A25" s="4" t="s">
        <v>5</v>
      </c>
      <c r="B25" s="4" t="s">
        <v>6</v>
      </c>
      <c r="C25" s="4" t="s">
        <v>7</v>
      </c>
      <c r="D25" s="4" t="s">
        <v>8</v>
      </c>
      <c r="E25" s="4" t="s">
        <v>9</v>
      </c>
      <c r="F25" s="4" t="s">
        <v>10</v>
      </c>
      <c r="G25" s="4" t="s">
        <v>11</v>
      </c>
      <c r="H25" s="4" t="s">
        <v>12</v>
      </c>
      <c r="I25" s="4" t="s">
        <v>15</v>
      </c>
    </row>
    <row r="26" spans="1:9">
      <c r="A26">
        <v>2</v>
      </c>
      <c r="B26">
        <v>1</v>
      </c>
      <c r="C26">
        <v>1</v>
      </c>
      <c r="D26">
        <v>1</v>
      </c>
      <c r="E26" s="5">
        <f>LOG(1100)</f>
        <v>3.0413926851582249</v>
      </c>
      <c r="F26" s="5">
        <f>LOG(1240)</f>
        <v>3.0934216851622351</v>
      </c>
      <c r="G26" s="5">
        <f t="shared" ref="G26:G40" si="2">AVERAGE(E26:F26)</f>
        <v>3.06740718516023</v>
      </c>
      <c r="H26" s="5">
        <f t="shared" ref="H26:H40" si="3">F26-E26</f>
        <v>5.2029000004010229E-2</v>
      </c>
    </row>
    <row r="27" spans="1:9">
      <c r="C27">
        <v>2</v>
      </c>
      <c r="D27">
        <v>2</v>
      </c>
      <c r="E27" s="5">
        <f>LOG(7500)</f>
        <v>3.8750612633917001</v>
      </c>
      <c r="F27" s="5">
        <f>LOG(9100)</f>
        <v>3.9590413923210934</v>
      </c>
      <c r="G27" s="5">
        <f t="shared" si="2"/>
        <v>3.917051327856397</v>
      </c>
      <c r="H27" s="5">
        <f t="shared" si="3"/>
        <v>8.3980128929393327E-2</v>
      </c>
    </row>
    <row r="28" spans="1:9">
      <c r="C28">
        <v>3</v>
      </c>
      <c r="D28">
        <v>3</v>
      </c>
      <c r="E28" s="5">
        <f>LOG(9100)</f>
        <v>3.9590413923210934</v>
      </c>
      <c r="F28" s="5">
        <f>LOG(19400)</f>
        <v>4.2878017299302265</v>
      </c>
      <c r="G28" s="5">
        <f t="shared" si="2"/>
        <v>4.1234215611256602</v>
      </c>
      <c r="H28" s="5">
        <f t="shared" si="3"/>
        <v>0.32876033760913304</v>
      </c>
    </row>
    <row r="29" spans="1:9">
      <c r="C29">
        <v>4</v>
      </c>
      <c r="D29">
        <v>4</v>
      </c>
      <c r="E29" s="5">
        <f>LOG(14600)</f>
        <v>4.1643528557844371</v>
      </c>
      <c r="F29" s="5">
        <f>LOG(18400)</f>
        <v>4.2648178230095368</v>
      </c>
      <c r="G29" s="5">
        <f t="shared" si="2"/>
        <v>4.2145853393969865</v>
      </c>
      <c r="H29" s="5">
        <f t="shared" si="3"/>
        <v>0.10046496722509968</v>
      </c>
    </row>
    <row r="30" spans="1:9">
      <c r="C30">
        <v>5</v>
      </c>
      <c r="D30">
        <v>5</v>
      </c>
      <c r="E30" s="5">
        <f>LOG(23800)</f>
        <v>4.3765769570565123</v>
      </c>
      <c r="F30" s="5">
        <f>LOG(24600)</f>
        <v>4.3909351071033793</v>
      </c>
      <c r="G30" s="5">
        <f t="shared" si="2"/>
        <v>4.3837560320799458</v>
      </c>
      <c r="H30" s="5">
        <f t="shared" si="3"/>
        <v>1.4358150046867024E-2</v>
      </c>
    </row>
    <row r="31" spans="1:9">
      <c r="B31">
        <v>2</v>
      </c>
      <c r="C31">
        <v>1</v>
      </c>
      <c r="D31">
        <v>6</v>
      </c>
      <c r="E31" s="5">
        <f>LOG(15800)</f>
        <v>4.1986570869544222</v>
      </c>
      <c r="F31" s="5">
        <f>LOG(14900)</f>
        <v>4.173186268412274</v>
      </c>
      <c r="G31" s="5">
        <f t="shared" si="2"/>
        <v>4.1859216776833481</v>
      </c>
      <c r="H31" s="5">
        <f t="shared" si="3"/>
        <v>-2.5470818542148166E-2</v>
      </c>
    </row>
    <row r="32" spans="1:9">
      <c r="C32">
        <v>2</v>
      </c>
      <c r="D32">
        <v>7</v>
      </c>
      <c r="E32" s="5">
        <f>LOG(15000)</f>
        <v>4.1760912590556813</v>
      </c>
      <c r="F32" s="5">
        <f>LOG(18000)</f>
        <v>4.2552725051033065</v>
      </c>
      <c r="G32" s="5">
        <f t="shared" si="2"/>
        <v>4.2156818820794939</v>
      </c>
      <c r="H32" s="5">
        <f t="shared" si="3"/>
        <v>7.9181246047625109E-2</v>
      </c>
    </row>
    <row r="33" spans="1:8">
      <c r="C33">
        <v>3</v>
      </c>
      <c r="D33">
        <v>8</v>
      </c>
      <c r="E33" s="5">
        <f>LOG(418000)</f>
        <v>5.6211762817750355</v>
      </c>
      <c r="F33" s="5">
        <f>LOG(510000)</f>
        <v>5.7075701760979367</v>
      </c>
      <c r="G33" s="5">
        <f t="shared" si="2"/>
        <v>5.6643732289364861</v>
      </c>
      <c r="H33" s="5">
        <f t="shared" si="3"/>
        <v>8.6393894322901232E-2</v>
      </c>
    </row>
    <row r="34" spans="1:8">
      <c r="C34">
        <v>4</v>
      </c>
      <c r="D34">
        <v>9</v>
      </c>
      <c r="E34" s="5">
        <f>LOG(5000)</f>
        <v>3.6989700043360187</v>
      </c>
      <c r="F34" s="5">
        <f>LOG(2000)</f>
        <v>3.3010299956639813</v>
      </c>
      <c r="G34" s="5">
        <f t="shared" si="2"/>
        <v>3.5</v>
      </c>
      <c r="H34" s="5">
        <f t="shared" si="3"/>
        <v>-0.39794000867203749</v>
      </c>
    </row>
    <row r="35" spans="1:8">
      <c r="C35">
        <v>5</v>
      </c>
      <c r="D35">
        <v>10</v>
      </c>
      <c r="E35" s="5">
        <f>LOG(176000)</f>
        <v>5.2455126678141495</v>
      </c>
      <c r="F35" s="5">
        <f>LOG(167000)</f>
        <v>5.2227164711475833</v>
      </c>
      <c r="G35" s="5">
        <f t="shared" si="2"/>
        <v>5.234114569480866</v>
      </c>
      <c r="H35" s="5">
        <f t="shared" si="3"/>
        <v>-2.2796196666566182E-2</v>
      </c>
    </row>
    <row r="36" spans="1:8">
      <c r="B36">
        <v>3</v>
      </c>
      <c r="C36">
        <v>1</v>
      </c>
      <c r="D36">
        <v>11</v>
      </c>
      <c r="E36" s="5">
        <f>LOG(13000)</f>
        <v>4.1139433523068369</v>
      </c>
      <c r="F36" s="5">
        <f>LOG(18000)</f>
        <v>4.2552725051033065</v>
      </c>
      <c r="G36" s="5">
        <f t="shared" si="2"/>
        <v>4.1846079287050717</v>
      </c>
      <c r="H36" s="5">
        <f t="shared" si="3"/>
        <v>0.14132915279646951</v>
      </c>
    </row>
    <row r="37" spans="1:8">
      <c r="C37">
        <v>2</v>
      </c>
      <c r="D37">
        <v>12</v>
      </c>
      <c r="E37" s="5">
        <f>LOG(1800)</f>
        <v>3.255272505103306</v>
      </c>
      <c r="F37" s="5">
        <f>LOG(2900)</f>
        <v>3.4623979978989561</v>
      </c>
      <c r="G37" s="5">
        <f t="shared" si="2"/>
        <v>3.358835251501131</v>
      </c>
      <c r="H37" s="5">
        <f t="shared" si="3"/>
        <v>0.20712549279565007</v>
      </c>
    </row>
    <row r="38" spans="1:8">
      <c r="C38">
        <v>3</v>
      </c>
      <c r="D38">
        <v>13</v>
      </c>
      <c r="E38" s="5">
        <f>LOG(16000)</f>
        <v>4.204119982655925</v>
      </c>
      <c r="F38" s="5">
        <f>LOG(17500)</f>
        <v>4.2430380486862944</v>
      </c>
      <c r="G38" s="5">
        <f t="shared" si="2"/>
        <v>4.2235790156711097</v>
      </c>
      <c r="H38" s="5">
        <f t="shared" si="3"/>
        <v>3.8918066030369403E-2</v>
      </c>
    </row>
    <row r="39" spans="1:8">
      <c r="C39">
        <v>4</v>
      </c>
      <c r="D39">
        <v>14</v>
      </c>
      <c r="E39" s="5">
        <f>LOG(680)</f>
        <v>2.8325089127062362</v>
      </c>
      <c r="F39" s="5">
        <f>LOG(600)</f>
        <v>2.7781512503836434</v>
      </c>
      <c r="G39" s="5">
        <f t="shared" si="2"/>
        <v>2.8053300815449398</v>
      </c>
      <c r="H39" s="5">
        <f t="shared" si="3"/>
        <v>-5.4357662322592759E-2</v>
      </c>
    </row>
    <row r="40" spans="1:8">
      <c r="C40">
        <v>5</v>
      </c>
      <c r="D40">
        <v>15</v>
      </c>
      <c r="E40" s="5">
        <f>LOG(2400)</f>
        <v>3.3802112417116059</v>
      </c>
      <c r="F40" s="5">
        <f>LOG(2900)</f>
        <v>3.4623979978989561</v>
      </c>
      <c r="G40" s="5">
        <f t="shared" si="2"/>
        <v>3.421304619805281</v>
      </c>
      <c r="H40" s="5">
        <f t="shared" si="3"/>
        <v>8.2186756187350163E-2</v>
      </c>
    </row>
    <row r="41" spans="1:8">
      <c r="A41" t="s">
        <v>16</v>
      </c>
      <c r="H41" s="6">
        <f>AVERAGE(H26:H40)</f>
        <v>4.7610833719434947E-2</v>
      </c>
    </row>
    <row r="42" spans="1:8">
      <c r="A42" t="s">
        <v>17</v>
      </c>
      <c r="H42" s="6">
        <f>STDEV(H26:H40)</f>
        <v>0.15618160676197448</v>
      </c>
    </row>
    <row r="44" spans="1:8">
      <c r="A44" t="s">
        <v>18</v>
      </c>
      <c r="H44" s="5">
        <f>AVERAGE(H8:H22,H26:H40)</f>
        <v>5.3985648822936362E-2</v>
      </c>
    </row>
    <row r="45" spans="1:8">
      <c r="A45" t="s">
        <v>19</v>
      </c>
      <c r="H45" s="5">
        <f>STDEV(H8:H22,H26:H40)</f>
        <v>0.14797307395339224</v>
      </c>
    </row>
    <row r="46" spans="1:8">
      <c r="A46" t="s">
        <v>20</v>
      </c>
      <c r="H46" s="5">
        <f>0.05+1.96*0.15</f>
        <v>0.34399999999999997</v>
      </c>
    </row>
    <row r="47" spans="1:8">
      <c r="A47" t="s">
        <v>21</v>
      </c>
      <c r="H47" s="5">
        <f>0.05-1.96*0.15</f>
        <v>-0.24399999999999999</v>
      </c>
    </row>
    <row r="48" spans="1:8">
      <c r="H48" s="6"/>
    </row>
    <row r="49" spans="1:8">
      <c r="A49" t="s">
        <v>22</v>
      </c>
      <c r="B49" t="s">
        <v>23</v>
      </c>
      <c r="C49" t="s">
        <v>24</v>
      </c>
      <c r="H49" s="7"/>
    </row>
    <row r="50" spans="1:8">
      <c r="A50">
        <v>0</v>
      </c>
      <c r="B50">
        <v>0.34</v>
      </c>
      <c r="C50">
        <v>-0.24</v>
      </c>
    </row>
    <row r="51" spans="1:8">
      <c r="A51">
        <v>2</v>
      </c>
      <c r="B51">
        <v>0.34</v>
      </c>
      <c r="C51">
        <v>-0.24</v>
      </c>
    </row>
    <row r="52" spans="1:8">
      <c r="A52">
        <v>3</v>
      </c>
      <c r="B52">
        <v>0.34</v>
      </c>
      <c r="C52">
        <v>-0.24</v>
      </c>
    </row>
    <row r="53" spans="1:8">
      <c r="A53">
        <v>4</v>
      </c>
      <c r="B53">
        <v>0.34</v>
      </c>
      <c r="C53">
        <v>-0.24</v>
      </c>
    </row>
    <row r="54" spans="1:8">
      <c r="A54">
        <v>5</v>
      </c>
      <c r="B54">
        <v>0.34</v>
      </c>
      <c r="C54">
        <v>-0.24</v>
      </c>
    </row>
    <row r="55" spans="1:8">
      <c r="A55">
        <v>6</v>
      </c>
      <c r="B55">
        <v>0.34</v>
      </c>
      <c r="C55">
        <v>-0.24</v>
      </c>
    </row>
    <row r="56" spans="1:8">
      <c r="A56">
        <v>7</v>
      </c>
      <c r="B56">
        <v>0.34</v>
      </c>
      <c r="C56">
        <v>-0.24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"/>
  <sheetViews>
    <sheetView zoomScaleNormal="100" workbookViewId="0">
      <selection activeCell="H1" sqref="H1"/>
    </sheetView>
  </sheetViews>
  <sheetFormatPr defaultColWidth="11.5703125" defaultRowHeight="14.45"/>
  <sheetData>
    <row r="1" spans="1:17" s="3" customFormat="1" ht="31.5" customHeight="1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1">
      <c r="A2" s="2" t="s">
        <v>26</v>
      </c>
    </row>
    <row r="3" spans="1:17" ht="18.600000000000001">
      <c r="A3" s="1" t="s">
        <v>27</v>
      </c>
    </row>
    <row r="5" spans="1:17">
      <c r="A5" s="18" t="s">
        <v>28</v>
      </c>
      <c r="B5" s="4" t="s">
        <v>29</v>
      </c>
      <c r="C5" s="4"/>
      <c r="D5" s="4"/>
      <c r="E5" s="4"/>
      <c r="F5" s="4"/>
      <c r="G5" s="10"/>
      <c r="H5" s="10"/>
      <c r="I5" s="8" t="s">
        <v>30</v>
      </c>
      <c r="J5" s="8"/>
      <c r="K5" s="8"/>
      <c r="L5" s="8"/>
      <c r="M5" s="8"/>
      <c r="N5" s="9"/>
      <c r="O5" s="9"/>
    </row>
    <row r="6" spans="1:17">
      <c r="A6" s="18"/>
      <c r="B6" s="4">
        <v>1</v>
      </c>
      <c r="C6" s="4">
        <v>2</v>
      </c>
      <c r="D6" s="4">
        <v>3</v>
      </c>
      <c r="E6" s="4">
        <v>4</v>
      </c>
      <c r="F6" s="4">
        <v>5</v>
      </c>
      <c r="G6" s="10" t="s">
        <v>31</v>
      </c>
      <c r="H6" s="10" t="s">
        <v>32</v>
      </c>
      <c r="I6" s="8">
        <v>1</v>
      </c>
      <c r="J6" s="8">
        <v>2</v>
      </c>
      <c r="K6" s="8">
        <v>3</v>
      </c>
      <c r="L6" s="8">
        <v>4</v>
      </c>
      <c r="M6" s="8">
        <v>5</v>
      </c>
      <c r="N6" s="9" t="s">
        <v>31</v>
      </c>
      <c r="O6" s="9" t="s">
        <v>32</v>
      </c>
      <c r="P6" s="7" t="s">
        <v>33</v>
      </c>
    </row>
    <row r="7" spans="1:17">
      <c r="A7" s="18" t="s">
        <v>34</v>
      </c>
      <c r="B7" s="5">
        <f>LOG(100)</f>
        <v>2</v>
      </c>
      <c r="C7" s="5">
        <f>LOG(110)</f>
        <v>2.0413926851582249</v>
      </c>
      <c r="D7" s="5">
        <f>LOG(300)</f>
        <v>2.4771212547196626</v>
      </c>
      <c r="E7" s="5">
        <f>LOG(220)</f>
        <v>2.3424226808222062</v>
      </c>
      <c r="F7" s="5" t="s">
        <v>35</v>
      </c>
      <c r="G7" s="11">
        <f>MEDIAN(2,2.18,2.48,2.34,1)</f>
        <v>2.1800000000000002</v>
      </c>
      <c r="H7" s="14">
        <f>STDEV(2,2.18,2.48,2.34,1)</f>
        <v>0.58702640485756741</v>
      </c>
      <c r="I7" s="5">
        <f>LOG(180)</f>
        <v>2.255272505103306</v>
      </c>
      <c r="J7" s="5">
        <f>LOG(150)</f>
        <v>2.1760912590556813</v>
      </c>
      <c r="K7" s="5">
        <f>LOG(100)</f>
        <v>2</v>
      </c>
      <c r="L7" s="5">
        <f>LOG(290)</f>
        <v>2.4623979978989561</v>
      </c>
      <c r="M7" s="5">
        <f>LOG(350)</f>
        <v>2.5440680443502757</v>
      </c>
      <c r="N7" s="12">
        <f t="shared" ref="N7:N12" si="0">MEDIAN(I7:M7)</f>
        <v>2.255272505103306</v>
      </c>
      <c r="O7" s="15">
        <f t="shared" ref="O7:O12" si="1">STDEV(I7:M7)</f>
        <v>0.21938733913016131</v>
      </c>
      <c r="P7" s="6">
        <f>N7-G7</f>
        <v>7.5272505103305853E-2</v>
      </c>
    </row>
    <row r="8" spans="1:17">
      <c r="A8" s="18" t="s">
        <v>36</v>
      </c>
      <c r="B8" s="5">
        <f>LOG(265)</f>
        <v>2.4232458739368079</v>
      </c>
      <c r="C8" s="5">
        <f>LOG(230)</f>
        <v>2.3617278360175931</v>
      </c>
      <c r="D8" s="5">
        <f>LOG(360)</f>
        <v>2.5563025007672873</v>
      </c>
      <c r="E8" s="5">
        <f>LOG(260)</f>
        <v>2.4149733479708178</v>
      </c>
      <c r="F8" s="5">
        <f>LOG(390)</f>
        <v>2.5910646070264991</v>
      </c>
      <c r="G8" s="11">
        <f>MEDIAN(B8:F8)</f>
        <v>2.4232458739368079</v>
      </c>
      <c r="H8" s="14">
        <f>STDEV(B8:F8)</f>
        <v>9.8792788455076594E-2</v>
      </c>
      <c r="I8" s="5">
        <f>LOG(200)</f>
        <v>2.3010299956639813</v>
      </c>
      <c r="J8" s="5">
        <f>LOG(250)</f>
        <v>2.3979400086720375</v>
      </c>
      <c r="K8" s="5">
        <f>LOG(220)</f>
        <v>2.3424226808222062</v>
      </c>
      <c r="L8" s="5">
        <f>LOG(190)</f>
        <v>2.2787536009528289</v>
      </c>
      <c r="M8" s="5">
        <f>LOG(450)</f>
        <v>2.6532125137753435</v>
      </c>
      <c r="N8" s="12">
        <f t="shared" si="0"/>
        <v>2.3424226808222062</v>
      </c>
      <c r="O8" s="15">
        <f t="shared" si="1"/>
        <v>0.15148413176953565</v>
      </c>
      <c r="P8" s="6">
        <f t="shared" ref="P8:P12" si="2">N8-G8</f>
        <v>-8.0823193114601732E-2</v>
      </c>
    </row>
    <row r="9" spans="1:17">
      <c r="A9" s="18" t="s">
        <v>37</v>
      </c>
      <c r="B9" s="5">
        <f>LOG(3500)</f>
        <v>3.5440680443502757</v>
      </c>
      <c r="C9" s="5">
        <f>LOG(5000)</f>
        <v>3.6989700043360187</v>
      </c>
      <c r="D9" s="5">
        <f>LOG(4250)</f>
        <v>3.6283889300503116</v>
      </c>
      <c r="E9" s="5">
        <f>LOG(4900)</f>
        <v>3.6901960800285138</v>
      </c>
      <c r="F9" s="5">
        <f>LOG(4900)</f>
        <v>3.6901960800285138</v>
      </c>
      <c r="G9" s="11">
        <f t="shared" ref="G9:G12" si="3">MEDIAN(B9:F9)</f>
        <v>3.6901960800285138</v>
      </c>
      <c r="H9" s="14">
        <f t="shared" ref="H9:H12" si="4">STDEV(B9:F9)</f>
        <v>6.5797923111110546E-2</v>
      </c>
      <c r="I9" s="5">
        <f>LOG(5100)</f>
        <v>3.7075701760979363</v>
      </c>
      <c r="J9" s="5">
        <f>LOG(4200)</f>
        <v>3.6232492903979003</v>
      </c>
      <c r="K9" s="5">
        <f>LOG(5600)</f>
        <v>3.7481880270062002</v>
      </c>
      <c r="L9" s="5">
        <f>LOG(4500)</f>
        <v>3.6532125137753435</v>
      </c>
      <c r="M9" s="5">
        <f>LOG(5800)</f>
        <v>3.7634279935629373</v>
      </c>
      <c r="N9" s="12">
        <f t="shared" si="0"/>
        <v>3.7075701760979363</v>
      </c>
      <c r="O9" s="15">
        <f t="shared" si="1"/>
        <v>6.0163228372144287E-2</v>
      </c>
      <c r="P9" s="6">
        <f t="shared" si="2"/>
        <v>1.7374096069422418E-2</v>
      </c>
    </row>
    <row r="10" spans="1:17">
      <c r="A10" s="18" t="s">
        <v>38</v>
      </c>
      <c r="B10" s="5">
        <f>LOG(4500)</f>
        <v>3.6532125137753435</v>
      </c>
      <c r="C10" s="5">
        <f>LOG(2700)</f>
        <v>3.4313637641589874</v>
      </c>
      <c r="D10" s="5">
        <f>LOG(4900)</f>
        <v>3.6901960800285138</v>
      </c>
      <c r="E10" s="5">
        <f>LOG(4100)</f>
        <v>3.6127838567197355</v>
      </c>
      <c r="F10" s="5">
        <f>LOG(5100)</f>
        <v>3.7075701760979363</v>
      </c>
      <c r="G10" s="11">
        <f t="shared" si="3"/>
        <v>3.6532125137753435</v>
      </c>
      <c r="H10" s="14">
        <f t="shared" si="4"/>
        <v>0.1110518440270276</v>
      </c>
      <c r="I10" s="5">
        <f>LOG(4100)</f>
        <v>3.6127838567197355</v>
      </c>
      <c r="J10" s="5">
        <f>LOG(1800)</f>
        <v>3.255272505103306</v>
      </c>
      <c r="K10" s="5">
        <f>LOG(4100)</f>
        <v>3.6127838567197355</v>
      </c>
      <c r="L10" s="5">
        <f>LOG(2100)</f>
        <v>3.3222192947339191</v>
      </c>
      <c r="M10" s="5">
        <f>LOG(2700)</f>
        <v>3.4313637641589874</v>
      </c>
      <c r="N10" s="12">
        <f t="shared" si="0"/>
        <v>3.4313637641589874</v>
      </c>
      <c r="O10" s="15">
        <f t="shared" si="1"/>
        <v>0.16396848504613201</v>
      </c>
      <c r="P10" s="6">
        <f t="shared" si="2"/>
        <v>-0.22184874961635614</v>
      </c>
    </row>
    <row r="11" spans="1:17">
      <c r="A11" s="18" t="s">
        <v>39</v>
      </c>
      <c r="B11" s="5">
        <f>LOG(250000)</f>
        <v>5.3979400086720375</v>
      </c>
      <c r="C11" s="5">
        <f>LOG(280000)</f>
        <v>5.4471580313422194</v>
      </c>
      <c r="D11" s="5">
        <f>LOG(170000)</f>
        <v>5.2304489213782741</v>
      </c>
      <c r="E11" s="5">
        <f>LOG(260000)</f>
        <v>5.4149733479708182</v>
      </c>
      <c r="F11" s="5">
        <f>LOG(174000)</f>
        <v>5.2405492482825995</v>
      </c>
      <c r="G11" s="11">
        <f t="shared" si="3"/>
        <v>5.3979400086720375</v>
      </c>
      <c r="H11" s="14">
        <f t="shared" si="4"/>
        <v>0.1026641594641064</v>
      </c>
      <c r="I11" s="5">
        <f>LOG(316000)</f>
        <v>5.4996870826184034</v>
      </c>
      <c r="J11" s="5">
        <f>LOG(340000)</f>
        <v>5.5314789170422554</v>
      </c>
      <c r="K11" s="5">
        <f>LOG(291500)</f>
        <v>5.4646385590950333</v>
      </c>
      <c r="L11" s="5">
        <f>LOG(300000)</f>
        <v>5.4771212547196626</v>
      </c>
      <c r="M11" s="5">
        <f>LOG(300000)</f>
        <v>5.4771212547196626</v>
      </c>
      <c r="N11" s="12">
        <f t="shared" si="0"/>
        <v>5.4771212547196626</v>
      </c>
      <c r="O11" s="15">
        <f t="shared" si="1"/>
        <v>2.6406753541181587E-2</v>
      </c>
      <c r="P11" s="6">
        <f t="shared" si="2"/>
        <v>7.9181246047625109E-2</v>
      </c>
    </row>
    <row r="12" spans="1:17">
      <c r="A12" s="18" t="s">
        <v>40</v>
      </c>
      <c r="B12" s="5">
        <f>LOG(260000)</f>
        <v>5.4149733479708182</v>
      </c>
      <c r="C12" s="5">
        <f>LOG(207500)</f>
        <v>5.3170181010481112</v>
      </c>
      <c r="D12" s="5">
        <f>LOG(390000)</f>
        <v>5.5910646070264995</v>
      </c>
      <c r="E12" s="5">
        <f>LOG(250000)</f>
        <v>5.3979400086720375</v>
      </c>
      <c r="F12" s="5">
        <f>LOG(327500)</f>
        <v>5.5152113043278019</v>
      </c>
      <c r="G12" s="11">
        <f t="shared" si="3"/>
        <v>5.4149733479708182</v>
      </c>
      <c r="H12" s="14">
        <f t="shared" si="4"/>
        <v>0.10692869672383852</v>
      </c>
      <c r="I12" s="5">
        <f>LOG(190000)</f>
        <v>5.2787536009528289</v>
      </c>
      <c r="J12" s="5">
        <f>LOG(199000)</f>
        <v>5.2988530764097064</v>
      </c>
      <c r="K12" s="5">
        <f>LOG(287500)</f>
        <v>5.4586378490256493</v>
      </c>
      <c r="L12" s="5">
        <f>LOG(230000)</f>
        <v>5.3617278360175931</v>
      </c>
      <c r="M12" s="5">
        <f>LOG(250000)</f>
        <v>5.3979400086720375</v>
      </c>
      <c r="N12" s="12">
        <f t="shared" si="0"/>
        <v>5.3617278360175931</v>
      </c>
      <c r="O12" s="15">
        <f t="shared" si="1"/>
        <v>7.3328774734740115E-2</v>
      </c>
      <c r="P12" s="6">
        <f t="shared" si="2"/>
        <v>-5.3245511953225133E-2</v>
      </c>
    </row>
    <row r="13" spans="1:17" ht="16.5">
      <c r="F13" t="s">
        <v>41</v>
      </c>
      <c r="H13" s="19">
        <f>SQRT((1/6)*(H7^2+H8^2+H9^2+H10^2+H11^2+H12^2))</f>
        <v>0.2559282352600038</v>
      </c>
      <c r="L13" t="s">
        <v>42</v>
      </c>
      <c r="O13" s="19">
        <f>SQRT((1/6)*(O7^2+O8^2+O9^2+O10^2+O11^2+O12^2))</f>
        <v>0.1339514530975979</v>
      </c>
    </row>
    <row r="16" spans="1:17">
      <c r="A16" t="s">
        <v>43</v>
      </c>
    </row>
    <row r="18" spans="1:7" ht="16.5">
      <c r="A18" t="s">
        <v>44</v>
      </c>
    </row>
    <row r="19" spans="1:7">
      <c r="A19" t="s">
        <v>45</v>
      </c>
      <c r="B19">
        <f>TINV(1/2*0.2,24)</f>
        <v>1.7108820799094284</v>
      </c>
      <c r="D19">
        <f>TINV(0.1,24)*SQRT(1+1/5)*0.134</f>
        <v>0.25113977385059705</v>
      </c>
    </row>
    <row r="21" spans="1:7">
      <c r="A21" s="18" t="s">
        <v>28</v>
      </c>
      <c r="B21" s="13" t="s">
        <v>46</v>
      </c>
      <c r="C21" s="13" t="s">
        <v>33</v>
      </c>
      <c r="D21" s="13" t="s">
        <v>47</v>
      </c>
      <c r="E21" s="13" t="s">
        <v>48</v>
      </c>
      <c r="F21" s="13" t="s">
        <v>49</v>
      </c>
      <c r="G21" s="13" t="s">
        <v>50</v>
      </c>
    </row>
    <row r="22" spans="1:7">
      <c r="A22" s="18" t="s">
        <v>34</v>
      </c>
      <c r="B22" s="5">
        <v>2.1800000000000002</v>
      </c>
      <c r="C22" s="5">
        <v>7.5272505103305853E-2</v>
      </c>
      <c r="D22" s="5">
        <f t="shared" ref="D22:D27" si="5">C22+($B$19*$O$13*SQRT(1+1/5))</f>
        <v>0.32632129344576549</v>
      </c>
      <c r="E22" s="5">
        <f t="shared" ref="E22:E27" si="6">C22-($B$19*$O$13*SQRT(1+1/5))</f>
        <v>-0.17577628323915379</v>
      </c>
      <c r="F22">
        <v>0.5</v>
      </c>
      <c r="G22">
        <v>-0.5</v>
      </c>
    </row>
    <row r="23" spans="1:7">
      <c r="A23" s="18" t="s">
        <v>36</v>
      </c>
      <c r="B23" s="5">
        <v>2.4232458739368079</v>
      </c>
      <c r="C23" s="5">
        <v>-8.0823193114601732E-2</v>
      </c>
      <c r="D23" s="5">
        <f t="shared" si="5"/>
        <v>0.17022559522785791</v>
      </c>
      <c r="E23" s="5">
        <f t="shared" si="6"/>
        <v>-0.33187198145706137</v>
      </c>
      <c r="F23">
        <v>0.5</v>
      </c>
      <c r="G23">
        <v>-0.5</v>
      </c>
    </row>
    <row r="24" spans="1:7">
      <c r="A24" s="18" t="s">
        <v>37</v>
      </c>
      <c r="B24" s="5">
        <v>3.6901960800285138</v>
      </c>
      <c r="C24" s="5">
        <v>1.7374096069422418E-2</v>
      </c>
      <c r="D24" s="5">
        <f t="shared" si="5"/>
        <v>0.26842288441188206</v>
      </c>
      <c r="E24" s="5">
        <f t="shared" si="6"/>
        <v>-0.23367469227303722</v>
      </c>
      <c r="F24">
        <v>0.5</v>
      </c>
      <c r="G24">
        <v>-0.5</v>
      </c>
    </row>
    <row r="25" spans="1:7">
      <c r="A25" s="18" t="s">
        <v>38</v>
      </c>
      <c r="B25" s="5">
        <v>3.6532125137753435</v>
      </c>
      <c r="C25" s="5">
        <v>-0.22184874961635614</v>
      </c>
      <c r="D25" s="5">
        <f t="shared" si="5"/>
        <v>2.9200038726103494E-2</v>
      </c>
      <c r="E25" s="5">
        <f t="shared" si="6"/>
        <v>-0.47289753795881578</v>
      </c>
      <c r="F25">
        <v>0.5</v>
      </c>
      <c r="G25">
        <v>-0.5</v>
      </c>
    </row>
    <row r="26" spans="1:7">
      <c r="A26" s="18" t="s">
        <v>39</v>
      </c>
      <c r="B26" s="5">
        <v>5.3979400086720375</v>
      </c>
      <c r="C26" s="5">
        <v>7.9181246047625109E-2</v>
      </c>
      <c r="D26" s="5">
        <f t="shared" si="5"/>
        <v>0.33023003439008475</v>
      </c>
      <c r="E26" s="5">
        <f t="shared" si="6"/>
        <v>-0.17186754229483453</v>
      </c>
      <c r="F26">
        <v>0.5</v>
      </c>
      <c r="G26">
        <v>-0.5</v>
      </c>
    </row>
    <row r="27" spans="1:7">
      <c r="A27" s="18" t="s">
        <v>40</v>
      </c>
      <c r="B27" s="5">
        <v>5.4149733479708182</v>
      </c>
      <c r="C27" s="5">
        <v>-5.3245511953225133E-2</v>
      </c>
      <c r="D27" s="5">
        <f t="shared" si="5"/>
        <v>0.19780327638923451</v>
      </c>
      <c r="E27" s="5">
        <f t="shared" si="6"/>
        <v>-0.30429430029568477</v>
      </c>
      <c r="F27">
        <v>0.5</v>
      </c>
      <c r="G27">
        <v>-0.5</v>
      </c>
    </row>
    <row r="28" spans="1:7">
      <c r="D28" s="5"/>
      <c r="E28" s="5"/>
      <c r="F28" s="5"/>
      <c r="G28" s="5"/>
    </row>
    <row r="29" spans="1:7">
      <c r="D29" s="5"/>
      <c r="E29" s="5"/>
      <c r="F29" s="5"/>
      <c r="G29" s="5"/>
    </row>
    <row r="30" spans="1:7">
      <c r="D30" s="5"/>
      <c r="E30" s="5"/>
      <c r="F30" s="5"/>
      <c r="G30" s="5"/>
    </row>
    <row r="31" spans="1:7">
      <c r="A31" s="5"/>
      <c r="D31" s="16"/>
      <c r="E31" s="5"/>
      <c r="F31" s="5"/>
      <c r="G31" s="5"/>
    </row>
    <row r="32" spans="1:7">
      <c r="A32" s="5"/>
      <c r="B32" s="5"/>
      <c r="C32" s="5"/>
      <c r="D32" s="5"/>
      <c r="E32" s="5"/>
      <c r="F32" s="5"/>
      <c r="G32" s="5"/>
    </row>
    <row r="33" spans="1:11">
      <c r="A33" s="5"/>
      <c r="B33" s="5"/>
      <c r="C33" s="5"/>
      <c r="D33" s="5"/>
      <c r="E33" s="5"/>
      <c r="F33" s="5"/>
      <c r="G33" s="5"/>
    </row>
    <row r="34" spans="1:11">
      <c r="A34" s="5"/>
      <c r="B34" s="5"/>
      <c r="C34" s="5"/>
      <c r="D34" s="5"/>
      <c r="E34" s="5"/>
      <c r="F34" s="5"/>
    </row>
    <row r="35" spans="1:11">
      <c r="A35" s="5"/>
      <c r="B35" s="5"/>
      <c r="C35" s="5"/>
      <c r="D35" s="5"/>
      <c r="E35" s="5"/>
      <c r="F35" s="5"/>
    </row>
    <row r="36" spans="1:11">
      <c r="A36" s="5"/>
      <c r="B36" s="5"/>
      <c r="C36" s="5"/>
      <c r="D36" s="5"/>
      <c r="E36" s="5"/>
      <c r="F36" s="5"/>
    </row>
    <row r="37" spans="1:11">
      <c r="A37" s="5"/>
      <c r="B37" s="5"/>
      <c r="C37" s="5"/>
      <c r="D37" s="5"/>
      <c r="E37" s="5"/>
      <c r="F37" s="5"/>
      <c r="G37" s="17"/>
      <c r="H37" s="17"/>
      <c r="I37" s="17"/>
      <c r="J37" s="17"/>
    </row>
    <row r="38" spans="1:11">
      <c r="A38" s="5"/>
      <c r="B38" s="5"/>
      <c r="C38" s="5"/>
      <c r="D38" s="5"/>
      <c r="E38" s="5"/>
      <c r="F38" s="5"/>
      <c r="G38" s="17"/>
      <c r="H38" s="17"/>
      <c r="I38" s="17"/>
      <c r="J38" s="17"/>
      <c r="K38" s="5"/>
    </row>
    <row r="39" spans="1:11">
      <c r="A39" s="5"/>
      <c r="B39" s="5"/>
      <c r="C39" s="5"/>
      <c r="D39" s="5"/>
      <c r="E39" s="5"/>
      <c r="F39" s="17"/>
      <c r="G39" s="17"/>
      <c r="H39" s="17"/>
      <c r="I39" s="17"/>
      <c r="J39" s="17"/>
      <c r="K39" s="5"/>
    </row>
    <row r="40" spans="1:11">
      <c r="A40" s="5"/>
      <c r="B40" s="5"/>
      <c r="C40" s="5"/>
      <c r="D40" s="5"/>
      <c r="E40" s="5"/>
      <c r="F40" s="17"/>
      <c r="G40" s="17"/>
      <c r="H40" s="17"/>
      <c r="I40" s="17"/>
      <c r="J40" s="17"/>
      <c r="K40" s="5"/>
    </row>
    <row r="41" spans="1:11">
      <c r="A41" s="5"/>
      <c r="B41" s="5"/>
      <c r="C41" s="5"/>
      <c r="D41" s="5"/>
      <c r="E41" s="5"/>
      <c r="F41" s="17"/>
      <c r="G41" s="17"/>
      <c r="H41" s="17"/>
      <c r="I41" s="17"/>
      <c r="J41" s="17"/>
      <c r="K41" s="5"/>
    </row>
    <row r="42" spans="1:11">
      <c r="A42" s="5"/>
      <c r="B42" s="5"/>
      <c r="C42" s="5"/>
      <c r="D42" s="5"/>
      <c r="E42" s="5"/>
      <c r="F42" s="17"/>
      <c r="G42" s="17"/>
      <c r="H42" s="17"/>
      <c r="I42" s="17"/>
      <c r="J42" s="17"/>
      <c r="K42" s="5"/>
    </row>
    <row r="44" spans="1:11">
      <c r="A44" s="5"/>
      <c r="B44" s="5"/>
      <c r="C44" s="5"/>
      <c r="D44" s="5"/>
      <c r="E44" s="5"/>
      <c r="F44" s="17"/>
      <c r="G44" s="17"/>
      <c r="H44" s="17"/>
      <c r="I44" s="17"/>
      <c r="J44" s="17"/>
    </row>
    <row r="45" spans="1:11">
      <c r="A45" s="5"/>
      <c r="B45" s="5"/>
      <c r="C45" s="5"/>
      <c r="D45" s="5"/>
      <c r="E45" s="5"/>
      <c r="F45" s="17"/>
      <c r="G45" s="17"/>
      <c r="H45" s="17"/>
      <c r="I45" s="17"/>
      <c r="J45" s="17"/>
    </row>
    <row r="46" spans="1:11">
      <c r="A46" s="5"/>
      <c r="B46" s="5"/>
      <c r="C46" s="5"/>
      <c r="D46" s="5"/>
      <c r="E46" s="5"/>
      <c r="F46" s="17"/>
      <c r="G46" s="17"/>
      <c r="H46" s="17"/>
      <c r="I46" s="17"/>
      <c r="J46" s="17"/>
    </row>
    <row r="47" spans="1:11">
      <c r="A47" s="5"/>
      <c r="B47" s="5"/>
      <c r="C47" s="5"/>
      <c r="D47" s="5"/>
      <c r="E47" s="5"/>
      <c r="F47" s="17"/>
      <c r="G47" s="17"/>
      <c r="H47" s="17"/>
      <c r="I47" s="17"/>
      <c r="J47" s="17"/>
    </row>
    <row r="48" spans="1:11">
      <c r="A48" s="5"/>
      <c r="B48" s="5"/>
      <c r="C48" s="5"/>
      <c r="D48" s="5"/>
      <c r="E48" s="5"/>
      <c r="F48" s="17"/>
      <c r="G48" s="17"/>
      <c r="H48" s="17"/>
      <c r="I48" s="17"/>
      <c r="J48" s="17"/>
    </row>
    <row r="49" spans="1:10">
      <c r="A49" s="5"/>
      <c r="B49" s="5"/>
      <c r="C49" s="5"/>
      <c r="D49" s="5"/>
      <c r="E49" s="5"/>
      <c r="F49" s="17"/>
      <c r="G49" s="17"/>
      <c r="H49" s="17"/>
      <c r="I49" s="17"/>
      <c r="J49" s="17"/>
    </row>
    <row r="50" spans="1:10">
      <c r="F50" s="5"/>
      <c r="G50" s="5"/>
      <c r="H50" s="5"/>
      <c r="I50" s="5"/>
      <c r="J50" s="5"/>
    </row>
    <row r="51" spans="1:10">
      <c r="F51" s="5"/>
      <c r="G51" s="5"/>
      <c r="H51" s="5"/>
      <c r="I51" s="5"/>
      <c r="J51" s="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7"/>
  <sheetViews>
    <sheetView zoomScaleNormal="100" zoomScaleSheetLayoutView="100" workbookViewId="0">
      <selection activeCell="H1" sqref="H1"/>
    </sheetView>
  </sheetViews>
  <sheetFormatPr defaultColWidth="11.7109375" defaultRowHeight="14.45"/>
  <cols>
    <col min="1" max="1" width="17.28515625" customWidth="1"/>
    <col min="2" max="3" width="8.7109375" customWidth="1"/>
    <col min="4" max="4" width="9" customWidth="1"/>
    <col min="5" max="5" width="9.28515625" customWidth="1"/>
    <col min="6" max="6" width="10.42578125" customWidth="1"/>
    <col min="7" max="7" width="9.5703125" customWidth="1"/>
    <col min="8" max="8" width="9" customWidth="1"/>
    <col min="9" max="9" width="10.85546875" customWidth="1"/>
    <col min="10" max="10" width="9.7109375" customWidth="1"/>
    <col min="11" max="11" width="12.28515625" customWidth="1"/>
    <col min="12" max="12" width="9.140625" customWidth="1"/>
    <col min="13" max="13" width="7.42578125" customWidth="1"/>
    <col min="14" max="14" width="8.85546875" customWidth="1"/>
    <col min="15" max="15" width="10.42578125" customWidth="1"/>
  </cols>
  <sheetData>
    <row r="1" spans="1:19" s="3" customFormat="1" ht="31.5" customHeight="1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9" ht="45" customHeight="1">
      <c r="A2" s="58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"/>
      <c r="Q2" s="5"/>
      <c r="R2" s="5"/>
      <c r="S2" s="5"/>
    </row>
    <row r="3" spans="1:19">
      <c r="A3" s="23"/>
      <c r="B3" s="60" t="s">
        <v>53</v>
      </c>
      <c r="C3" s="60"/>
      <c r="D3" s="60"/>
      <c r="E3" s="60"/>
      <c r="F3" s="60"/>
      <c r="G3" s="60"/>
      <c r="H3" s="60"/>
      <c r="I3" s="60"/>
      <c r="J3" s="60"/>
      <c r="K3" s="60"/>
      <c r="P3" s="5"/>
      <c r="Q3" s="5"/>
      <c r="R3" s="5"/>
      <c r="S3" s="5"/>
    </row>
    <row r="4" spans="1:19" ht="15" customHeight="1">
      <c r="A4" s="33" t="s">
        <v>54</v>
      </c>
      <c r="B4" s="61" t="s">
        <v>55</v>
      </c>
      <c r="C4" s="61"/>
      <c r="D4" s="61"/>
      <c r="E4" s="61"/>
      <c r="F4" s="61"/>
      <c r="G4" s="62" t="s">
        <v>56</v>
      </c>
      <c r="H4" s="62"/>
      <c r="I4" s="62"/>
      <c r="J4" s="62"/>
      <c r="K4" s="62"/>
      <c r="P4" s="5"/>
      <c r="Q4" s="5"/>
      <c r="R4" s="5"/>
      <c r="S4" s="5"/>
    </row>
    <row r="5" spans="1:19" ht="29.1">
      <c r="A5" s="33"/>
      <c r="B5" s="34" t="s">
        <v>57</v>
      </c>
      <c r="C5" s="34" t="s">
        <v>58</v>
      </c>
      <c r="D5" s="34" t="s">
        <v>59</v>
      </c>
      <c r="E5" s="34" t="s">
        <v>60</v>
      </c>
      <c r="F5" s="34" t="s">
        <v>61</v>
      </c>
      <c r="G5" s="35" t="s">
        <v>57</v>
      </c>
      <c r="H5" s="35" t="s">
        <v>58</v>
      </c>
      <c r="I5" s="35" t="s">
        <v>59</v>
      </c>
      <c r="J5" s="35" t="s">
        <v>62</v>
      </c>
      <c r="K5" s="35" t="s">
        <v>63</v>
      </c>
      <c r="P5" s="5"/>
      <c r="Q5" s="5"/>
      <c r="R5" s="5"/>
      <c r="S5" s="5"/>
    </row>
    <row r="6" spans="1:19">
      <c r="A6" s="36">
        <v>1</v>
      </c>
      <c r="B6" s="48">
        <v>2.48</v>
      </c>
      <c r="C6" s="48">
        <v>2.41</v>
      </c>
      <c r="D6" s="49">
        <f t="shared" ref="D6:D13" si="0">(B6-C6)^2</f>
        <v>4.8999999999999773E-3</v>
      </c>
      <c r="E6" s="50">
        <f t="shared" ref="E6:E13" si="1">AVERAGE(B6:C6)</f>
        <v>2.4450000000000003</v>
      </c>
      <c r="F6" s="51">
        <f>E6^2</f>
        <v>5.9780250000000015</v>
      </c>
      <c r="G6" s="21">
        <v>2.08</v>
      </c>
      <c r="H6" s="21">
        <v>2.34</v>
      </c>
      <c r="I6" s="36">
        <f>(G6-H6)^2</f>
        <v>6.7599999999999882E-2</v>
      </c>
      <c r="J6" s="52">
        <f>AVERAGE(G6:H6)</f>
        <v>2.21</v>
      </c>
      <c r="K6" s="51">
        <f t="shared" ref="K6:K13" si="2">J6^2</f>
        <v>4.8841000000000001</v>
      </c>
    </row>
    <row r="7" spans="1:19">
      <c r="A7" s="36">
        <v>2</v>
      </c>
      <c r="B7" s="48">
        <v>2.4</v>
      </c>
      <c r="C7" s="48">
        <v>2.3199999999999998</v>
      </c>
      <c r="D7" s="49">
        <f t="shared" si="0"/>
        <v>6.4000000000000116E-3</v>
      </c>
      <c r="E7" s="50">
        <f t="shared" si="1"/>
        <v>2.36</v>
      </c>
      <c r="F7" s="51">
        <f t="shared" ref="F7:F13" si="3">E7^2</f>
        <v>5.5695999999999994</v>
      </c>
      <c r="G7" s="21">
        <v>2.41</v>
      </c>
      <c r="H7" s="21">
        <v>2</v>
      </c>
      <c r="I7" s="36">
        <f t="shared" ref="I7:I13" si="4">(G7-H7)^2</f>
        <v>0.16810000000000011</v>
      </c>
      <c r="J7" s="52">
        <f t="shared" ref="J7:J13" si="5">AVERAGE(G7:H7)</f>
        <v>2.2050000000000001</v>
      </c>
      <c r="K7" s="51">
        <f t="shared" si="2"/>
        <v>4.862025</v>
      </c>
    </row>
    <row r="8" spans="1:19">
      <c r="A8" s="36">
        <v>3</v>
      </c>
      <c r="B8" s="48">
        <v>2.2599999999999998</v>
      </c>
      <c r="C8" s="48">
        <v>2.2000000000000002</v>
      </c>
      <c r="D8" s="49">
        <f t="shared" si="0"/>
        <v>3.5999999999999531E-3</v>
      </c>
      <c r="E8" s="50">
        <f t="shared" si="1"/>
        <v>2.23</v>
      </c>
      <c r="F8" s="51">
        <f t="shared" si="3"/>
        <v>4.9729000000000001</v>
      </c>
      <c r="G8" s="21">
        <v>2.04</v>
      </c>
      <c r="H8" s="21">
        <v>2.1800000000000002</v>
      </c>
      <c r="I8" s="36">
        <f t="shared" si="4"/>
        <v>1.9600000000000034E-2</v>
      </c>
      <c r="J8" s="52">
        <f t="shared" si="5"/>
        <v>2.1100000000000003</v>
      </c>
      <c r="K8" s="51">
        <f t="shared" si="2"/>
        <v>4.4521000000000015</v>
      </c>
    </row>
    <row r="9" spans="1:19">
      <c r="A9" s="36">
        <v>4</v>
      </c>
      <c r="B9" s="48">
        <v>2.1800000000000002</v>
      </c>
      <c r="C9" s="48">
        <v>2.15</v>
      </c>
      <c r="D9" s="49">
        <f t="shared" si="0"/>
        <v>9.0000000000001494E-4</v>
      </c>
      <c r="E9" s="50">
        <f t="shared" si="1"/>
        <v>2.165</v>
      </c>
      <c r="F9" s="51">
        <f t="shared" si="3"/>
        <v>4.6872249999999998</v>
      </c>
      <c r="G9" s="21">
        <v>2.34</v>
      </c>
      <c r="H9" s="21">
        <v>2.3199999999999998</v>
      </c>
      <c r="I9" s="36">
        <f t="shared" si="4"/>
        <v>4.0000000000000072E-4</v>
      </c>
      <c r="J9" s="52">
        <f t="shared" si="5"/>
        <v>2.33</v>
      </c>
      <c r="K9" s="51">
        <f t="shared" si="2"/>
        <v>5.4289000000000005</v>
      </c>
    </row>
    <row r="10" spans="1:19">
      <c r="A10" s="36">
        <v>5</v>
      </c>
      <c r="B10" s="48">
        <v>2.2799999999999998</v>
      </c>
      <c r="C10" s="48">
        <v>2.21</v>
      </c>
      <c r="D10" s="49">
        <f t="shared" si="0"/>
        <v>4.8999999999999773E-3</v>
      </c>
      <c r="E10" s="50">
        <f t="shared" si="1"/>
        <v>2.2450000000000001</v>
      </c>
      <c r="F10" s="51">
        <f t="shared" si="3"/>
        <v>5.0400250000000009</v>
      </c>
      <c r="G10" s="21">
        <v>2.1800000000000002</v>
      </c>
      <c r="H10" s="21">
        <v>2.11</v>
      </c>
      <c r="I10" s="36">
        <f t="shared" si="4"/>
        <v>4.9000000000000397E-3</v>
      </c>
      <c r="J10" s="52">
        <f t="shared" si="5"/>
        <v>2.145</v>
      </c>
      <c r="K10" s="51">
        <f t="shared" si="2"/>
        <v>4.6010249999999999</v>
      </c>
    </row>
    <row r="11" spans="1:19">
      <c r="A11" s="36">
        <v>6</v>
      </c>
      <c r="B11" s="48">
        <v>2.15</v>
      </c>
      <c r="C11" s="48">
        <v>2.2799999999999998</v>
      </c>
      <c r="D11" s="49">
        <f t="shared" si="0"/>
        <v>1.6899999999999971E-2</v>
      </c>
      <c r="E11" s="50">
        <f t="shared" si="1"/>
        <v>2.2149999999999999</v>
      </c>
      <c r="F11" s="51">
        <f t="shared" si="3"/>
        <v>4.9062249999999992</v>
      </c>
      <c r="G11" s="21">
        <v>2.2000000000000002</v>
      </c>
      <c r="H11" s="21">
        <v>2.15</v>
      </c>
      <c r="I11" s="36">
        <f t="shared" si="4"/>
        <v>2.5000000000000265E-3</v>
      </c>
      <c r="J11" s="52">
        <f t="shared" si="5"/>
        <v>2.1749999999999998</v>
      </c>
      <c r="K11" s="51">
        <f t="shared" si="2"/>
        <v>4.730624999999999</v>
      </c>
    </row>
    <row r="12" spans="1:19">
      <c r="A12" s="36">
        <v>7</v>
      </c>
      <c r="B12" s="48">
        <v>2.2599999999999998</v>
      </c>
      <c r="C12" s="48">
        <v>2.38</v>
      </c>
      <c r="D12" s="49">
        <f t="shared" si="0"/>
        <v>1.4400000000000026E-2</v>
      </c>
      <c r="E12" s="50">
        <f t="shared" si="1"/>
        <v>2.3199999999999998</v>
      </c>
      <c r="F12" s="51">
        <f t="shared" si="3"/>
        <v>5.3823999999999996</v>
      </c>
      <c r="G12" s="21">
        <v>2.2000000000000002</v>
      </c>
      <c r="H12" s="21">
        <v>2.2000000000000002</v>
      </c>
      <c r="I12" s="36">
        <f t="shared" si="4"/>
        <v>0</v>
      </c>
      <c r="J12" s="52">
        <f t="shared" si="5"/>
        <v>2.2000000000000002</v>
      </c>
      <c r="K12" s="51">
        <f t="shared" si="2"/>
        <v>4.8400000000000007</v>
      </c>
    </row>
    <row r="13" spans="1:19">
      <c r="A13" s="36">
        <v>8</v>
      </c>
      <c r="B13" s="48">
        <v>2.11</v>
      </c>
      <c r="C13" s="48">
        <v>2.1800000000000002</v>
      </c>
      <c r="D13" s="49">
        <f t="shared" si="0"/>
        <v>4.9000000000000397E-3</v>
      </c>
      <c r="E13" s="50">
        <f t="shared" si="1"/>
        <v>2.145</v>
      </c>
      <c r="F13" s="51">
        <f t="shared" si="3"/>
        <v>4.6010249999999999</v>
      </c>
      <c r="G13" s="21">
        <v>2.15</v>
      </c>
      <c r="H13" s="21">
        <v>2.34</v>
      </c>
      <c r="I13" s="36">
        <f t="shared" si="4"/>
        <v>3.6099999999999979E-2</v>
      </c>
      <c r="J13" s="52">
        <f t="shared" si="5"/>
        <v>2.2450000000000001</v>
      </c>
      <c r="K13" s="51">
        <f t="shared" si="2"/>
        <v>5.0400250000000009</v>
      </c>
    </row>
    <row r="14" spans="1:19">
      <c r="A14" s="40" t="s">
        <v>64</v>
      </c>
      <c r="B14" s="49"/>
      <c r="C14" s="49"/>
      <c r="D14" s="49">
        <f>SUM(D6:D13)</f>
        <v>5.6899999999999964E-2</v>
      </c>
      <c r="E14" s="49">
        <f>SUM(E6:E13)</f>
        <v>18.125</v>
      </c>
      <c r="F14" s="53">
        <f>SUM(F6:F13)</f>
        <v>41.137424999999993</v>
      </c>
      <c r="G14" s="36"/>
      <c r="H14" s="36"/>
      <c r="I14" s="36">
        <f>SUM(I6:I13)</f>
        <v>0.29920000000000002</v>
      </c>
      <c r="J14" s="36">
        <f>SUM(J6:J13)</f>
        <v>17.62</v>
      </c>
      <c r="K14" s="54">
        <f>SUM(K6:K13)</f>
        <v>38.838799999999999</v>
      </c>
    </row>
    <row r="15" spans="1:19">
      <c r="A15" s="46" t="s">
        <v>11</v>
      </c>
      <c r="B15" s="44">
        <f>AVERAGE(B6:C13)</f>
        <v>2.265625</v>
      </c>
      <c r="C15" s="32"/>
      <c r="D15" s="32"/>
      <c r="E15" s="32"/>
      <c r="F15" s="32"/>
      <c r="G15" s="22">
        <f>AVERAGE(G6:H13)</f>
        <v>2.2024999999999997</v>
      </c>
    </row>
    <row r="16" spans="1:19">
      <c r="A16" s="46" t="s">
        <v>65</v>
      </c>
      <c r="B16" s="45">
        <f>SQRT(1/(2*8)*I14)</f>
        <v>0.13674794331177342</v>
      </c>
      <c r="C16" s="21"/>
      <c r="D16" s="21"/>
      <c r="E16" s="21"/>
      <c r="F16" s="21"/>
      <c r="G16" s="32">
        <f>SQRT((1/(2*8))*I14)</f>
        <v>0.13674794331177342</v>
      </c>
      <c r="H16" s="22"/>
      <c r="I16" s="22"/>
      <c r="J16" s="22"/>
      <c r="K16" s="22"/>
    </row>
    <row r="17" spans="1:15">
      <c r="A17" s="46" t="s">
        <v>66</v>
      </c>
      <c r="B17" s="45">
        <f>(8*F14-E14^2)/(7*8)-((B16)^2/2)</f>
        <v>1.0745535714276073E-3</v>
      </c>
      <c r="C17" s="21"/>
      <c r="D17" s="21"/>
      <c r="E17" s="21"/>
      <c r="F17" s="21"/>
      <c r="G17" s="45">
        <f>(8*K14-J14^2)/(7*8)-((G16)^2/2)</f>
        <v>-4.957142857143197E-3</v>
      </c>
      <c r="H17" s="45"/>
      <c r="I17" s="22"/>
      <c r="J17" s="22"/>
      <c r="K17" s="22"/>
    </row>
    <row r="18" spans="1:15">
      <c r="A18" s="46" t="s">
        <v>67</v>
      </c>
      <c r="B18" s="45">
        <f>SQRT(B16^2+B17)</f>
        <v>0.14062202377802563</v>
      </c>
      <c r="C18" s="21"/>
      <c r="D18" s="21"/>
      <c r="E18" s="21"/>
      <c r="F18" s="21"/>
      <c r="G18" s="32">
        <f>SQRT(G16^2)</f>
        <v>0.13674794331177342</v>
      </c>
      <c r="H18" s="22"/>
      <c r="I18" s="22"/>
      <c r="J18" s="22"/>
      <c r="K18" s="22"/>
    </row>
    <row r="19" spans="1:15">
      <c r="A19" s="46" t="s">
        <v>15</v>
      </c>
      <c r="B19" s="21"/>
      <c r="C19" s="21"/>
      <c r="D19" s="21"/>
      <c r="E19" s="21"/>
      <c r="F19" s="21"/>
      <c r="G19" s="21"/>
      <c r="H19" s="22"/>
      <c r="I19" s="22"/>
      <c r="J19" s="22"/>
      <c r="K19" s="22"/>
    </row>
    <row r="20" spans="1:15">
      <c r="A20" s="46" t="s">
        <v>68</v>
      </c>
      <c r="B20" s="32"/>
      <c r="C20" s="21"/>
      <c r="D20" s="21"/>
      <c r="E20" s="21"/>
      <c r="F20" s="21"/>
      <c r="G20" s="22">
        <f>G15-B15</f>
        <v>-6.312500000000032E-2</v>
      </c>
      <c r="H20" s="22"/>
      <c r="I20" s="22"/>
      <c r="J20" s="22"/>
      <c r="K20" s="22"/>
    </row>
    <row r="21" spans="1:15" ht="43.5">
      <c r="A21" s="46" t="s">
        <v>69</v>
      </c>
      <c r="B21" s="32" t="s">
        <v>70</v>
      </c>
      <c r="C21" s="21">
        <f>TINV(0.2,7)</f>
        <v>1.4149239276505079</v>
      </c>
      <c r="D21" s="21"/>
      <c r="E21" s="21"/>
      <c r="F21" s="21"/>
      <c r="G21" s="32"/>
      <c r="H21" s="22"/>
      <c r="I21" s="22"/>
      <c r="J21" s="22"/>
      <c r="K21" s="22"/>
    </row>
    <row r="22" spans="1:15">
      <c r="A22" s="46" t="s">
        <v>71</v>
      </c>
      <c r="B22" s="21"/>
      <c r="C22" s="21"/>
      <c r="D22" s="21"/>
      <c r="E22" s="21"/>
      <c r="F22" s="21"/>
      <c r="G22" s="22">
        <f>G15+(C21*G18)</f>
        <v>2.3959879370488233</v>
      </c>
      <c r="H22" s="22"/>
      <c r="I22" s="22"/>
      <c r="J22" s="22"/>
      <c r="K22" s="22"/>
    </row>
    <row r="23" spans="1:15">
      <c r="A23" s="46" t="s">
        <v>72</v>
      </c>
      <c r="B23" s="21"/>
      <c r="C23" s="21"/>
      <c r="D23" s="21"/>
      <c r="E23" s="21"/>
      <c r="F23" s="21"/>
      <c r="G23" s="22">
        <f>G15-(C21*G18)</f>
        <v>2.0090120629511761</v>
      </c>
      <c r="H23" s="22"/>
      <c r="I23" s="22"/>
      <c r="J23" s="22"/>
      <c r="K23" s="22"/>
    </row>
    <row r="24" spans="1:15">
      <c r="A24" s="46" t="s">
        <v>73</v>
      </c>
      <c r="B24" s="21"/>
      <c r="C24" s="21"/>
      <c r="D24" s="21"/>
      <c r="E24" s="21"/>
      <c r="F24" s="21"/>
      <c r="G24" s="22">
        <f>G22-B15</f>
        <v>0.13036293704882329</v>
      </c>
      <c r="H24" s="22"/>
      <c r="I24" s="22"/>
      <c r="J24" s="22"/>
      <c r="K24" s="22"/>
    </row>
    <row r="25" spans="1:15">
      <c r="A25" s="46" t="s">
        <v>74</v>
      </c>
      <c r="B25" s="21"/>
      <c r="C25" s="21"/>
      <c r="D25" s="21"/>
      <c r="E25" s="21"/>
      <c r="F25" s="21"/>
      <c r="G25" s="22">
        <f>G23-B15</f>
        <v>-0.25661293704882393</v>
      </c>
      <c r="H25" s="22"/>
      <c r="I25" s="22"/>
      <c r="J25" s="22"/>
      <c r="K25" s="22"/>
    </row>
    <row r="26" spans="1:15">
      <c r="A26" s="47"/>
      <c r="B26" s="21"/>
      <c r="C26" s="21"/>
      <c r="D26" s="21"/>
      <c r="E26" s="21"/>
      <c r="F26" s="21"/>
      <c r="G26" s="32"/>
      <c r="H26" s="22"/>
      <c r="I26" s="22"/>
      <c r="J26" s="22"/>
      <c r="K26" s="22"/>
    </row>
    <row r="27" spans="1:15">
      <c r="A27" s="47"/>
      <c r="B27" s="21"/>
      <c r="C27" s="21"/>
      <c r="D27" s="21"/>
      <c r="E27" s="21"/>
      <c r="F27" s="21"/>
      <c r="G27" s="32"/>
      <c r="H27" s="22"/>
      <c r="I27" s="22"/>
      <c r="J27" s="22"/>
      <c r="K27" s="22"/>
    </row>
    <row r="28" spans="1:15">
      <c r="J28" s="22"/>
      <c r="K28" s="22"/>
    </row>
    <row r="29" spans="1:15">
      <c r="B29" s="65" t="s">
        <v>75</v>
      </c>
      <c r="C29" s="66"/>
      <c r="D29" s="66"/>
      <c r="E29" s="66"/>
      <c r="F29" s="66"/>
      <c r="G29" s="66"/>
      <c r="H29" s="66"/>
      <c r="I29" s="66"/>
      <c r="J29" s="66"/>
      <c r="K29" s="66"/>
      <c r="L29" s="63"/>
      <c r="M29" s="63"/>
      <c r="N29" s="63"/>
      <c r="O29" s="63"/>
    </row>
    <row r="30" spans="1:15" ht="15" customHeight="1">
      <c r="A30" s="33" t="s">
        <v>54</v>
      </c>
      <c r="B30" s="61" t="s">
        <v>55</v>
      </c>
      <c r="C30" s="61"/>
      <c r="D30" s="61"/>
      <c r="E30" s="61"/>
      <c r="F30" s="61"/>
      <c r="G30" s="62" t="s">
        <v>56</v>
      </c>
      <c r="H30" s="62"/>
      <c r="I30" s="62"/>
      <c r="J30" s="62"/>
      <c r="K30" s="62"/>
      <c r="L30" s="64"/>
      <c r="M30" s="64"/>
      <c r="N30" s="64"/>
      <c r="O30" s="64"/>
    </row>
    <row r="31" spans="1:15" ht="36" customHeight="1">
      <c r="A31" s="33"/>
      <c r="B31" s="34" t="s">
        <v>57</v>
      </c>
      <c r="C31" s="34" t="s">
        <v>58</v>
      </c>
      <c r="D31" s="34" t="s">
        <v>59</v>
      </c>
      <c r="E31" s="34" t="s">
        <v>60</v>
      </c>
      <c r="F31" s="34" t="s">
        <v>61</v>
      </c>
      <c r="G31" s="35" t="s">
        <v>57</v>
      </c>
      <c r="H31" s="35" t="s">
        <v>58</v>
      </c>
      <c r="I31" s="35" t="s">
        <v>59</v>
      </c>
      <c r="J31" s="35" t="s">
        <v>62</v>
      </c>
      <c r="K31" s="35" t="s">
        <v>63</v>
      </c>
      <c r="L31" s="24"/>
      <c r="M31" s="24"/>
      <c r="N31" s="24"/>
      <c r="O31" s="24"/>
    </row>
    <row r="32" spans="1:15">
      <c r="A32" s="36">
        <v>1</v>
      </c>
      <c r="B32" s="25">
        <v>3.26</v>
      </c>
      <c r="C32" s="20">
        <v>3.28</v>
      </c>
      <c r="D32" s="37">
        <f>(B32-C32)^2</f>
        <v>4.0000000000000072E-4</v>
      </c>
      <c r="E32" s="38">
        <f t="shared" ref="E32:E39" si="6">AVERAGE(B32:C32)</f>
        <v>3.2699999999999996</v>
      </c>
      <c r="F32" s="51">
        <f>E32^2</f>
        <v>10.692899999999998</v>
      </c>
      <c r="G32" s="20">
        <v>3.3</v>
      </c>
      <c r="H32" s="26">
        <v>3.46</v>
      </c>
      <c r="I32" s="40">
        <f t="shared" ref="I32:I39" si="7">(G32-H32)^2</f>
        <v>2.5600000000000046E-2</v>
      </c>
      <c r="J32" s="41">
        <f t="shared" ref="J32:J39" si="8">AVERAGE(G32:H32)</f>
        <v>3.38</v>
      </c>
      <c r="K32" s="51">
        <f t="shared" ref="K32:K39" si="9">J32^2</f>
        <v>11.424399999999999</v>
      </c>
      <c r="L32" s="20"/>
      <c r="M32" s="20"/>
      <c r="N32" s="20"/>
      <c r="O32" s="20"/>
    </row>
    <row r="33" spans="1:15">
      <c r="A33" s="36">
        <v>2</v>
      </c>
      <c r="B33" s="25">
        <v>3.08</v>
      </c>
      <c r="C33" s="20">
        <v>3.11</v>
      </c>
      <c r="D33" s="37">
        <f t="shared" ref="D33:D39" si="10">(B33-C33)^2</f>
        <v>8.9999999999998827E-4</v>
      </c>
      <c r="E33" s="38">
        <f t="shared" si="6"/>
        <v>3.0949999999999998</v>
      </c>
      <c r="F33" s="51">
        <f t="shared" ref="F33:F39" si="11">E33^2</f>
        <v>9.5790249999999979</v>
      </c>
      <c r="G33" s="20">
        <v>3.32</v>
      </c>
      <c r="H33" s="26">
        <v>3.11</v>
      </c>
      <c r="I33" s="40">
        <f t="shared" si="7"/>
        <v>4.4099999999999986E-2</v>
      </c>
      <c r="J33" s="41">
        <f t="shared" si="8"/>
        <v>3.2149999999999999</v>
      </c>
      <c r="K33" s="51">
        <f t="shared" si="9"/>
        <v>10.336224999999999</v>
      </c>
      <c r="L33" s="20"/>
      <c r="M33" s="20"/>
      <c r="N33" s="20"/>
      <c r="O33" s="20"/>
    </row>
    <row r="34" spans="1:15">
      <c r="A34" s="36">
        <v>3</v>
      </c>
      <c r="B34" s="25">
        <v>3.23</v>
      </c>
      <c r="C34" s="20">
        <v>3.18</v>
      </c>
      <c r="D34" s="37">
        <f t="shared" si="10"/>
        <v>2.4999999999999823E-3</v>
      </c>
      <c r="E34" s="38">
        <f t="shared" si="6"/>
        <v>3.2050000000000001</v>
      </c>
      <c r="F34" s="51">
        <f t="shared" si="11"/>
        <v>10.272025000000001</v>
      </c>
      <c r="G34" s="20">
        <v>3.32</v>
      </c>
      <c r="H34" s="26">
        <v>3.08</v>
      </c>
      <c r="I34" s="40">
        <f t="shared" si="7"/>
        <v>5.7599999999999887E-2</v>
      </c>
      <c r="J34" s="41">
        <f t="shared" si="8"/>
        <v>3.2</v>
      </c>
      <c r="K34" s="51">
        <f t="shared" si="9"/>
        <v>10.240000000000002</v>
      </c>
      <c r="L34" s="20"/>
      <c r="M34" s="20"/>
      <c r="N34" s="20"/>
      <c r="O34" s="20"/>
    </row>
    <row r="35" spans="1:15">
      <c r="A35" s="36">
        <v>4</v>
      </c>
      <c r="B35" s="25">
        <v>3.15</v>
      </c>
      <c r="C35" s="20">
        <v>3.11</v>
      </c>
      <c r="D35" s="37">
        <f t="shared" si="10"/>
        <v>1.6000000000000029E-3</v>
      </c>
      <c r="E35" s="38">
        <f t="shared" si="6"/>
        <v>3.13</v>
      </c>
      <c r="F35" s="51">
        <f t="shared" si="11"/>
        <v>9.7968999999999991</v>
      </c>
      <c r="G35" s="20">
        <v>3.18</v>
      </c>
      <c r="H35" s="26">
        <v>3.38</v>
      </c>
      <c r="I35" s="40">
        <f t="shared" si="7"/>
        <v>3.9999999999999897E-2</v>
      </c>
      <c r="J35" s="41">
        <f t="shared" si="8"/>
        <v>3.2800000000000002</v>
      </c>
      <c r="K35" s="51">
        <f t="shared" si="9"/>
        <v>10.758400000000002</v>
      </c>
      <c r="L35" s="20"/>
      <c r="M35" s="20"/>
      <c r="N35" s="20"/>
      <c r="O35" s="20"/>
    </row>
    <row r="36" spans="1:15">
      <c r="A36" s="36">
        <v>5</v>
      </c>
      <c r="B36" s="25">
        <v>3.23</v>
      </c>
      <c r="C36" s="20">
        <v>3.26</v>
      </c>
      <c r="D36" s="37">
        <f t="shared" si="10"/>
        <v>8.9999999999998827E-4</v>
      </c>
      <c r="E36" s="38">
        <f t="shared" si="6"/>
        <v>3.2450000000000001</v>
      </c>
      <c r="F36" s="51">
        <f t="shared" si="11"/>
        <v>10.530025</v>
      </c>
      <c r="G36" s="20">
        <v>3.11</v>
      </c>
      <c r="H36" s="26">
        <v>3.2</v>
      </c>
      <c r="I36" s="40">
        <f t="shared" si="7"/>
        <v>8.1000000000000551E-3</v>
      </c>
      <c r="J36" s="41">
        <f t="shared" si="8"/>
        <v>3.1550000000000002</v>
      </c>
      <c r="K36" s="51">
        <f t="shared" si="9"/>
        <v>9.9540250000000015</v>
      </c>
      <c r="L36" s="20"/>
      <c r="M36" s="20"/>
      <c r="N36" s="20"/>
      <c r="O36" s="20"/>
    </row>
    <row r="37" spans="1:15">
      <c r="A37" s="36">
        <v>6</v>
      </c>
      <c r="B37" s="25">
        <v>3.28</v>
      </c>
      <c r="C37" s="20">
        <v>3.23</v>
      </c>
      <c r="D37" s="37">
        <f t="shared" si="10"/>
        <v>2.4999999999999823E-3</v>
      </c>
      <c r="E37" s="38">
        <f t="shared" si="6"/>
        <v>3.2549999999999999</v>
      </c>
      <c r="F37" s="51">
        <f t="shared" si="11"/>
        <v>10.595025</v>
      </c>
      <c r="G37" s="20">
        <v>3.32</v>
      </c>
      <c r="H37" s="26">
        <v>3.26</v>
      </c>
      <c r="I37" s="40">
        <f t="shared" si="7"/>
        <v>3.6000000000000064E-3</v>
      </c>
      <c r="J37" s="41">
        <f t="shared" si="8"/>
        <v>3.29</v>
      </c>
      <c r="K37" s="51">
        <f t="shared" si="9"/>
        <v>10.8241</v>
      </c>
      <c r="L37" s="20"/>
      <c r="M37" s="20"/>
      <c r="N37" s="20"/>
      <c r="O37" s="20"/>
    </row>
    <row r="38" spans="1:15">
      <c r="A38" s="36">
        <v>7</v>
      </c>
      <c r="B38" s="25">
        <v>3.36</v>
      </c>
      <c r="C38" s="20">
        <v>3.41</v>
      </c>
      <c r="D38" s="37">
        <f t="shared" si="10"/>
        <v>2.5000000000000265E-3</v>
      </c>
      <c r="E38" s="38">
        <f t="shared" si="6"/>
        <v>3.3849999999999998</v>
      </c>
      <c r="F38" s="51">
        <f t="shared" si="11"/>
        <v>11.458224999999999</v>
      </c>
      <c r="G38" s="20">
        <v>3.32</v>
      </c>
      <c r="H38" s="26">
        <v>3.3</v>
      </c>
      <c r="I38" s="40">
        <f t="shared" si="7"/>
        <v>4.0000000000000072E-4</v>
      </c>
      <c r="J38" s="41">
        <f t="shared" si="8"/>
        <v>3.3099999999999996</v>
      </c>
      <c r="K38" s="51">
        <f t="shared" si="9"/>
        <v>10.956099999999998</v>
      </c>
      <c r="L38" s="20"/>
      <c r="M38" s="20"/>
      <c r="N38" s="20"/>
      <c r="O38" s="20"/>
    </row>
    <row r="39" spans="1:15">
      <c r="A39" s="36">
        <v>8</v>
      </c>
      <c r="B39" s="27">
        <v>3.08</v>
      </c>
      <c r="C39" s="28">
        <v>3.11</v>
      </c>
      <c r="D39" s="37">
        <f t="shared" si="10"/>
        <v>8.9999999999998827E-4</v>
      </c>
      <c r="E39" s="38">
        <f t="shared" si="6"/>
        <v>3.0949999999999998</v>
      </c>
      <c r="F39" s="51">
        <f t="shared" si="11"/>
        <v>9.5790249999999979</v>
      </c>
      <c r="G39" s="28">
        <v>3.34</v>
      </c>
      <c r="H39" s="29">
        <v>3.15</v>
      </c>
      <c r="I39" s="40">
        <f t="shared" si="7"/>
        <v>3.6099999999999979E-2</v>
      </c>
      <c r="J39" s="41">
        <f t="shared" si="8"/>
        <v>3.2450000000000001</v>
      </c>
      <c r="K39" s="51">
        <f t="shared" si="9"/>
        <v>10.530025</v>
      </c>
      <c r="L39" s="20"/>
      <c r="M39" s="20"/>
      <c r="N39" s="20"/>
      <c r="O39" s="20"/>
    </row>
    <row r="40" spans="1:15">
      <c r="A40" s="40" t="s">
        <v>64</v>
      </c>
      <c r="B40" s="37"/>
      <c r="C40" s="37"/>
      <c r="D40" s="37">
        <f>SUM(D32:D39)</f>
        <v>1.2199999999999959E-2</v>
      </c>
      <c r="E40" s="37">
        <f>SUM(E32:E39)</f>
        <v>25.68</v>
      </c>
      <c r="F40" s="42">
        <f>SUM(F32:F39)</f>
        <v>82.503150000000005</v>
      </c>
      <c r="G40" s="40"/>
      <c r="H40" s="40"/>
      <c r="I40" s="40">
        <f>SUM(I32:I39)</f>
        <v>0.21549999999999986</v>
      </c>
      <c r="J40" s="40">
        <f>SUM(J32:J39)</f>
        <v>26.074999999999999</v>
      </c>
      <c r="K40" s="43">
        <f>SUM(K32:K39)</f>
        <v>85.023274999999998</v>
      </c>
    </row>
    <row r="41" spans="1:15">
      <c r="A41" s="46" t="s">
        <v>11</v>
      </c>
      <c r="B41" s="44">
        <f>AVERAGE(B32:C39)</f>
        <v>3.21</v>
      </c>
      <c r="C41" s="32"/>
      <c r="D41" s="32"/>
      <c r="E41" s="32"/>
      <c r="F41" s="32"/>
      <c r="G41" s="22">
        <f>AVERAGE(G32:H39)</f>
        <v>3.259374999999999</v>
      </c>
    </row>
    <row r="42" spans="1:15">
      <c r="A42" s="46" t="s">
        <v>65</v>
      </c>
      <c r="B42" s="45">
        <f>SQRT(1/(2*8)*D40)</f>
        <v>2.7613402542968107E-2</v>
      </c>
      <c r="C42" s="21"/>
      <c r="D42" s="21"/>
      <c r="E42" s="21"/>
      <c r="F42" s="21"/>
      <c r="G42" s="32">
        <f>SQRT((1/(2*8))*I40)</f>
        <v>0.11605494388435157</v>
      </c>
    </row>
    <row r="43" spans="1:15" ht="45" customHeight="1">
      <c r="A43" s="46" t="s">
        <v>66</v>
      </c>
      <c r="B43" s="45">
        <f>(8*F40-E40^2)/(7*8)-((B42)^2/2)</f>
        <v>9.6687500000006872E-3</v>
      </c>
      <c r="C43" s="21"/>
      <c r="D43" s="21"/>
      <c r="E43" s="21"/>
      <c r="F43" s="21"/>
      <c r="G43" s="45">
        <f>(8*K40-J40^2)/(7*8)-((G42)^2/2)</f>
        <v>-1.7241071428571592E-3</v>
      </c>
      <c r="H43" s="67" t="s">
        <v>76</v>
      </c>
      <c r="I43" s="67"/>
      <c r="J43" s="67"/>
    </row>
    <row r="44" spans="1:15">
      <c r="A44" s="46" t="s">
        <v>67</v>
      </c>
      <c r="B44" s="45">
        <f>SQRT(B42^2+B43)</f>
        <v>0.10213349107908083</v>
      </c>
      <c r="C44" s="21"/>
      <c r="D44" s="21"/>
      <c r="E44" s="21"/>
      <c r="F44" s="21"/>
      <c r="G44" s="32">
        <f>SQRT(G42^2)</f>
        <v>0.11605494388435157</v>
      </c>
    </row>
    <row r="45" spans="1:15">
      <c r="A45" s="46" t="s">
        <v>15</v>
      </c>
      <c r="B45" s="21"/>
      <c r="C45" s="21"/>
      <c r="D45" s="21"/>
      <c r="E45" s="21"/>
      <c r="F45" s="21"/>
      <c r="G45" s="21"/>
    </row>
    <row r="46" spans="1:15">
      <c r="A46" s="46" t="s">
        <v>33</v>
      </c>
      <c r="B46" s="32"/>
      <c r="C46" s="21"/>
      <c r="D46" s="21"/>
      <c r="E46" s="21"/>
      <c r="F46" s="21"/>
      <c r="G46" s="22">
        <f>G41-B41</f>
        <v>4.9374999999999059E-2</v>
      </c>
    </row>
    <row r="47" spans="1:15" ht="43.5">
      <c r="A47" s="46" t="s">
        <v>69</v>
      </c>
      <c r="B47" s="32" t="s">
        <v>70</v>
      </c>
      <c r="C47" s="21">
        <f>TINV(0.2,7)</f>
        <v>1.4149239276505079</v>
      </c>
      <c r="D47" s="21"/>
      <c r="E47" s="21"/>
      <c r="F47" s="21"/>
      <c r="G47" s="32"/>
    </row>
    <row r="48" spans="1:15">
      <c r="A48" s="46" t="s">
        <v>77</v>
      </c>
      <c r="B48" s="21"/>
      <c r="C48" s="21"/>
      <c r="D48" s="21"/>
      <c r="E48" s="21"/>
      <c r="F48" s="21"/>
      <c r="G48" s="22">
        <f>G41+(C47*G44)</f>
        <v>3.4235839170241049</v>
      </c>
    </row>
    <row r="49" spans="1:12">
      <c r="A49" s="46" t="s">
        <v>78</v>
      </c>
      <c r="B49" s="21"/>
      <c r="C49" s="21"/>
      <c r="D49" s="21"/>
      <c r="E49" s="21"/>
      <c r="F49" s="21"/>
      <c r="G49" s="22">
        <f>G41-(C47*G44)</f>
        <v>3.0951660829758931</v>
      </c>
    </row>
    <row r="50" spans="1:12">
      <c r="A50" s="46" t="s">
        <v>73</v>
      </c>
      <c r="B50" s="21"/>
      <c r="C50" s="21"/>
      <c r="D50" s="21"/>
      <c r="E50" s="21"/>
      <c r="F50" s="21"/>
      <c r="G50" s="22">
        <f>G48-B41</f>
        <v>0.21358391702410495</v>
      </c>
    </row>
    <row r="51" spans="1:12">
      <c r="A51" s="46" t="s">
        <v>74</v>
      </c>
      <c r="B51" s="21"/>
      <c r="C51" s="21"/>
      <c r="D51" s="21"/>
      <c r="E51" s="21"/>
      <c r="F51" s="21"/>
      <c r="G51" s="22">
        <f>G49-B41</f>
        <v>-0.11483391702410684</v>
      </c>
    </row>
    <row r="55" spans="1:12">
      <c r="A55" s="59"/>
      <c r="B55" s="59"/>
      <c r="C55" s="59"/>
      <c r="D55" s="59"/>
      <c r="E55" s="59"/>
    </row>
    <row r="56" spans="1:12">
      <c r="B56" s="66" t="s">
        <v>79</v>
      </c>
      <c r="C56" s="66"/>
      <c r="D56" s="66"/>
      <c r="E56" s="66"/>
      <c r="F56" s="66"/>
      <c r="G56" s="66"/>
      <c r="H56" s="66"/>
      <c r="I56" s="66"/>
      <c r="J56" s="66"/>
      <c r="K56" s="64"/>
      <c r="L56" s="68"/>
    </row>
    <row r="57" spans="1:12">
      <c r="A57" s="33" t="s">
        <v>54</v>
      </c>
      <c r="B57" s="61" t="s">
        <v>55</v>
      </c>
      <c r="C57" s="61"/>
      <c r="D57" s="61"/>
      <c r="E57" s="61"/>
      <c r="F57" s="61"/>
      <c r="G57" s="62" t="s">
        <v>56</v>
      </c>
      <c r="H57" s="62"/>
      <c r="I57" s="62"/>
      <c r="J57" s="62"/>
      <c r="K57" s="62"/>
    </row>
    <row r="58" spans="1:12" ht="29.1">
      <c r="A58" s="33"/>
      <c r="B58" s="34" t="s">
        <v>57</v>
      </c>
      <c r="C58" s="34" t="s">
        <v>58</v>
      </c>
      <c r="D58" s="34" t="s">
        <v>59</v>
      </c>
      <c r="E58" s="34" t="s">
        <v>60</v>
      </c>
      <c r="F58" s="34" t="s">
        <v>61</v>
      </c>
      <c r="G58" s="35" t="s">
        <v>57</v>
      </c>
      <c r="H58" s="35" t="s">
        <v>58</v>
      </c>
      <c r="I58" s="35" t="s">
        <v>59</v>
      </c>
      <c r="J58" s="35" t="s">
        <v>62</v>
      </c>
      <c r="K58" s="35" t="s">
        <v>63</v>
      </c>
    </row>
    <row r="59" spans="1:12">
      <c r="A59" s="36">
        <v>1</v>
      </c>
      <c r="B59" s="25">
        <v>4.32</v>
      </c>
      <c r="C59" s="20">
        <v>4.18</v>
      </c>
      <c r="D59" s="37">
        <f>(B59-C59)^2</f>
        <v>1.9600000000000159E-2</v>
      </c>
      <c r="E59" s="38">
        <f t="shared" ref="E59" si="12">AVERAGE(B59:C59)</f>
        <v>4.25</v>
      </c>
      <c r="F59" s="39">
        <f>E59^2</f>
        <v>18.0625</v>
      </c>
      <c r="G59" s="20">
        <v>4.2300000000000004</v>
      </c>
      <c r="H59" s="30">
        <v>4.43</v>
      </c>
      <c r="I59" s="40">
        <f t="shared" ref="I59:I66" si="13">(G59-H59)^2</f>
        <v>3.9999999999999716E-2</v>
      </c>
      <c r="J59" s="41">
        <f t="shared" ref="J59:J66" si="14">AVERAGE(G59:H59)</f>
        <v>4.33</v>
      </c>
      <c r="K59" s="51">
        <f t="shared" ref="K59:K66" si="15">J59^2</f>
        <v>18.748899999999999</v>
      </c>
    </row>
    <row r="60" spans="1:12">
      <c r="A60" s="36">
        <v>2</v>
      </c>
      <c r="B60" s="25">
        <v>4.38</v>
      </c>
      <c r="C60" s="20">
        <v>4.2</v>
      </c>
      <c r="D60" s="37">
        <f t="shared" ref="D60:D66" si="16">(B60-C60)^2</f>
        <v>3.2399999999999901E-2</v>
      </c>
      <c r="E60" s="38">
        <f t="shared" ref="E60:E66" si="17">AVERAGE(B60:C60)</f>
        <v>4.29</v>
      </c>
      <c r="F60" s="39">
        <f t="shared" ref="F60:F66" si="18">E60^2</f>
        <v>18.4041</v>
      </c>
      <c r="G60" s="20">
        <v>4.28</v>
      </c>
      <c r="H60" s="30">
        <v>4.3600000000000003</v>
      </c>
      <c r="I60" s="40">
        <f t="shared" si="13"/>
        <v>6.4000000000000116E-3</v>
      </c>
      <c r="J60" s="41">
        <f t="shared" si="14"/>
        <v>4.32</v>
      </c>
      <c r="K60" s="51">
        <f t="shared" si="15"/>
        <v>18.662400000000002</v>
      </c>
    </row>
    <row r="61" spans="1:12">
      <c r="A61" s="36">
        <v>3</v>
      </c>
      <c r="B61" s="25">
        <v>4.18</v>
      </c>
      <c r="C61" s="20">
        <v>4.1500000000000004</v>
      </c>
      <c r="D61" s="37">
        <f t="shared" si="16"/>
        <v>8.9999999999996159E-4</v>
      </c>
      <c r="E61" s="38">
        <f t="shared" si="17"/>
        <v>4.165</v>
      </c>
      <c r="F61" s="39">
        <f t="shared" si="18"/>
        <v>17.347225000000002</v>
      </c>
      <c r="G61" s="20">
        <v>4.32</v>
      </c>
      <c r="H61" s="30">
        <v>4.04</v>
      </c>
      <c r="I61" s="40">
        <f t="shared" si="13"/>
        <v>7.8400000000000136E-2</v>
      </c>
      <c r="J61" s="41">
        <f t="shared" si="14"/>
        <v>4.18</v>
      </c>
      <c r="K61" s="51">
        <f t="shared" si="15"/>
        <v>17.472399999999997</v>
      </c>
    </row>
    <row r="62" spans="1:12">
      <c r="A62" s="36">
        <v>4</v>
      </c>
      <c r="B62" s="25">
        <v>4.1100000000000003</v>
      </c>
      <c r="C62" s="20">
        <v>4.1100000000000003</v>
      </c>
      <c r="D62" s="37">
        <f t="shared" si="16"/>
        <v>0</v>
      </c>
      <c r="E62" s="38">
        <f t="shared" si="17"/>
        <v>4.1100000000000003</v>
      </c>
      <c r="F62" s="39">
        <f t="shared" si="18"/>
        <v>16.892100000000003</v>
      </c>
      <c r="G62" s="20">
        <v>4.1500000000000004</v>
      </c>
      <c r="H62" s="30">
        <v>4.1500000000000004</v>
      </c>
      <c r="I62" s="40">
        <f t="shared" si="13"/>
        <v>0</v>
      </c>
      <c r="J62" s="41">
        <f t="shared" si="14"/>
        <v>4.1500000000000004</v>
      </c>
      <c r="K62" s="51">
        <f t="shared" si="15"/>
        <v>17.222500000000004</v>
      </c>
    </row>
    <row r="63" spans="1:12">
      <c r="A63" s="36">
        <v>5</v>
      </c>
      <c r="B63" s="25">
        <v>4.18</v>
      </c>
      <c r="C63" s="20">
        <v>4.34</v>
      </c>
      <c r="D63" s="37">
        <f t="shared" si="16"/>
        <v>2.5600000000000046E-2</v>
      </c>
      <c r="E63" s="38">
        <f t="shared" si="17"/>
        <v>4.26</v>
      </c>
      <c r="F63" s="39">
        <f t="shared" si="18"/>
        <v>18.147599999999997</v>
      </c>
      <c r="G63" s="20">
        <v>4.1500000000000004</v>
      </c>
      <c r="H63" s="30">
        <v>4.2300000000000004</v>
      </c>
      <c r="I63" s="40">
        <f t="shared" si="13"/>
        <v>6.4000000000000116E-3</v>
      </c>
      <c r="J63" s="41">
        <f t="shared" si="14"/>
        <v>4.1900000000000004</v>
      </c>
      <c r="K63" s="51">
        <f t="shared" si="15"/>
        <v>17.556100000000004</v>
      </c>
    </row>
    <row r="64" spans="1:12">
      <c r="A64" s="36">
        <v>6</v>
      </c>
      <c r="B64" s="25">
        <v>4.3600000000000003</v>
      </c>
      <c r="C64" s="20">
        <v>4.3</v>
      </c>
      <c r="D64" s="37">
        <f t="shared" si="16"/>
        <v>3.6000000000000597E-3</v>
      </c>
      <c r="E64" s="38">
        <f t="shared" si="17"/>
        <v>4.33</v>
      </c>
      <c r="F64" s="39">
        <f t="shared" si="18"/>
        <v>18.748899999999999</v>
      </c>
      <c r="G64" s="20">
        <v>4.32</v>
      </c>
      <c r="H64" s="30">
        <v>4.28</v>
      </c>
      <c r="I64" s="40">
        <f t="shared" si="13"/>
        <v>1.6000000000000029E-3</v>
      </c>
      <c r="J64" s="41">
        <f t="shared" si="14"/>
        <v>4.3000000000000007</v>
      </c>
      <c r="K64" s="51">
        <f t="shared" si="15"/>
        <v>18.490000000000006</v>
      </c>
    </row>
    <row r="65" spans="1:11">
      <c r="A65" s="36">
        <v>7</v>
      </c>
      <c r="B65" s="25">
        <v>4.08</v>
      </c>
      <c r="C65" s="20">
        <v>4.18</v>
      </c>
      <c r="D65" s="37">
        <f t="shared" si="16"/>
        <v>9.9999999999999291E-3</v>
      </c>
      <c r="E65" s="38">
        <f t="shared" si="17"/>
        <v>4.13</v>
      </c>
      <c r="F65" s="39">
        <f t="shared" si="18"/>
        <v>17.056899999999999</v>
      </c>
      <c r="G65" s="20">
        <v>4.1100000000000003</v>
      </c>
      <c r="H65" s="30">
        <v>4.08</v>
      </c>
      <c r="I65" s="40">
        <f t="shared" si="13"/>
        <v>9.0000000000001494E-4</v>
      </c>
      <c r="J65" s="41">
        <f t="shared" si="14"/>
        <v>4.0950000000000006</v>
      </c>
      <c r="K65" s="51">
        <f t="shared" si="15"/>
        <v>16.769025000000006</v>
      </c>
    </row>
    <row r="66" spans="1:11">
      <c r="A66" s="36">
        <v>8</v>
      </c>
      <c r="B66" s="27">
        <v>4.1100000000000003</v>
      </c>
      <c r="C66" s="28">
        <v>4.08</v>
      </c>
      <c r="D66" s="37">
        <f t="shared" si="16"/>
        <v>9.0000000000001494E-4</v>
      </c>
      <c r="E66" s="38">
        <f t="shared" si="17"/>
        <v>4.0950000000000006</v>
      </c>
      <c r="F66" s="39">
        <f t="shared" si="18"/>
        <v>16.769025000000006</v>
      </c>
      <c r="G66" s="28">
        <v>4.26</v>
      </c>
      <c r="H66" s="31">
        <v>4.3</v>
      </c>
      <c r="I66" s="40">
        <f t="shared" si="13"/>
        <v>1.6000000000000029E-3</v>
      </c>
      <c r="J66" s="41">
        <f t="shared" si="14"/>
        <v>4.2799999999999994</v>
      </c>
      <c r="K66" s="51">
        <f t="shared" si="15"/>
        <v>18.318399999999993</v>
      </c>
    </row>
    <row r="67" spans="1:11">
      <c r="A67" s="40" t="s">
        <v>80</v>
      </c>
      <c r="B67" s="37"/>
      <c r="C67" s="37"/>
      <c r="D67" s="37">
        <f>SUM(D59:D66)</f>
        <v>9.3000000000000069E-2</v>
      </c>
      <c r="E67" s="37">
        <f>SUM(E59:E66)</f>
        <v>33.629999999999995</v>
      </c>
      <c r="F67" s="42">
        <f>SUM(F59:F66)</f>
        <v>141.42835000000002</v>
      </c>
      <c r="G67" s="40"/>
      <c r="H67" s="40"/>
      <c r="I67" s="40">
        <f>SUM(I59:I66)</f>
        <v>0.13529999999999986</v>
      </c>
      <c r="J67" s="40">
        <f>SUM(J59:J66)</f>
        <v>33.845000000000006</v>
      </c>
      <c r="K67" s="43">
        <f>SUM(K59:K66)</f>
        <v>143.23972500000002</v>
      </c>
    </row>
    <row r="68" spans="1:11">
      <c r="A68" s="46" t="s">
        <v>11</v>
      </c>
      <c r="B68" s="44">
        <f>AVERAGE(B59:C66)</f>
        <v>4.2037499999999994</v>
      </c>
      <c r="C68" s="32"/>
      <c r="D68" s="32"/>
      <c r="E68" s="32"/>
      <c r="F68" s="32"/>
      <c r="G68" s="22">
        <f>AVERAGE(G59:H66)</f>
        <v>4.2306249999999999</v>
      </c>
    </row>
    <row r="69" spans="1:11">
      <c r="A69" s="46" t="s">
        <v>65</v>
      </c>
      <c r="B69" s="45">
        <f>SQRT(1/(2*8)*D67)</f>
        <v>7.6239753409884564E-2</v>
      </c>
      <c r="C69" s="21"/>
      <c r="D69" s="21"/>
      <c r="E69" s="21"/>
      <c r="F69" s="21"/>
      <c r="G69" s="32">
        <f>SQRT((1/(2*8))*I67)</f>
        <v>9.1957870788747564E-2</v>
      </c>
    </row>
    <row r="70" spans="1:11" ht="16.5">
      <c r="A70" s="46" t="s">
        <v>81</v>
      </c>
      <c r="B70" s="45">
        <f>(8*F67-E67^2)/(8*7)-(B69^2/2)</f>
        <v>5.1276785714379491E-3</v>
      </c>
      <c r="C70" s="21"/>
      <c r="D70" s="21"/>
      <c r="E70" s="21"/>
      <c r="F70" s="21"/>
      <c r="G70" s="45">
        <f>(8*K67-J67^2)/(8*7)-(G69^2/2)</f>
        <v>3.5178571428525277E-3</v>
      </c>
    </row>
    <row r="71" spans="1:11">
      <c r="A71" s="46" t="s">
        <v>67</v>
      </c>
      <c r="B71" s="45">
        <f>SQRT(B69^2+B70)</f>
        <v>0.10459530855367249</v>
      </c>
      <c r="C71" s="21"/>
      <c r="D71" s="21"/>
      <c r="E71" s="21"/>
      <c r="F71" s="21"/>
      <c r="G71" s="45">
        <f>SQRT(G69^2+G70)</f>
        <v>0.10942626349671508</v>
      </c>
    </row>
    <row r="72" spans="1:11">
      <c r="A72" s="46" t="s">
        <v>15</v>
      </c>
      <c r="B72" s="21"/>
      <c r="C72" s="21"/>
      <c r="D72" s="21"/>
      <c r="E72" s="21"/>
      <c r="F72" s="21"/>
      <c r="G72" s="21"/>
    </row>
    <row r="73" spans="1:11">
      <c r="A73" s="46" t="s">
        <v>33</v>
      </c>
      <c r="B73" s="32"/>
      <c r="C73" s="21"/>
      <c r="D73" s="21"/>
      <c r="E73" s="21"/>
      <c r="F73" s="21"/>
      <c r="G73" s="22">
        <f>G68-B68</f>
        <v>2.6875000000000426E-2</v>
      </c>
    </row>
    <row r="74" spans="1:11" ht="43.5">
      <c r="A74" s="46" t="s">
        <v>69</v>
      </c>
      <c r="B74" s="32" t="s">
        <v>70</v>
      </c>
      <c r="C74" s="21">
        <f>TINV(0.2,7)</f>
        <v>1.4149239276505079</v>
      </c>
      <c r="D74" s="21"/>
      <c r="E74" s="21"/>
      <c r="F74" s="21"/>
      <c r="G74" s="32"/>
    </row>
    <row r="75" spans="1:11">
      <c r="A75" s="46" t="s">
        <v>77</v>
      </c>
      <c r="B75" s="21"/>
      <c r="C75" s="21"/>
      <c r="D75" s="21"/>
      <c r="E75" s="21"/>
      <c r="F75" s="21"/>
      <c r="G75" s="21">
        <f>G68+(C74*G71)</f>
        <v>4.3854548385348915</v>
      </c>
    </row>
    <row r="76" spans="1:11">
      <c r="A76" s="46" t="s">
        <v>78</v>
      </c>
      <c r="B76" s="21"/>
      <c r="C76" s="21"/>
      <c r="D76" s="21"/>
      <c r="E76" s="21"/>
      <c r="F76" s="21"/>
      <c r="G76" s="21">
        <f>G68-(C74*G71)</f>
        <v>4.0757951614651082</v>
      </c>
    </row>
    <row r="77" spans="1:11">
      <c r="A77" s="46" t="s">
        <v>73</v>
      </c>
      <c r="B77" s="21"/>
      <c r="C77" s="21"/>
      <c r="D77" s="21"/>
      <c r="E77" s="21"/>
      <c r="F77" s="21"/>
      <c r="G77" s="32">
        <f>G75-B68</f>
        <v>0.18170483853489205</v>
      </c>
    </row>
    <row r="78" spans="1:11">
      <c r="A78" s="46" t="s">
        <v>74</v>
      </c>
      <c r="B78" s="21"/>
      <c r="C78" s="21"/>
      <c r="D78" s="21"/>
      <c r="E78" s="21"/>
      <c r="F78" s="21"/>
      <c r="G78" s="32">
        <f>G76-B68</f>
        <v>-0.1279548385348912</v>
      </c>
    </row>
    <row r="80" spans="1:11">
      <c r="A80" s="47"/>
    </row>
    <row r="82" spans="1:9">
      <c r="A82" s="8" t="s">
        <v>82</v>
      </c>
      <c r="B82" s="8"/>
      <c r="C82" s="8"/>
      <c r="D82" s="8"/>
      <c r="E82" s="8"/>
      <c r="F82" s="8"/>
      <c r="G82" s="8"/>
      <c r="H82" s="8"/>
      <c r="I82" s="8"/>
    </row>
    <row r="83" spans="1:9">
      <c r="A83" s="8" t="s">
        <v>83</v>
      </c>
      <c r="B83" s="8" t="s">
        <v>9</v>
      </c>
      <c r="C83" s="8" t="s">
        <v>84</v>
      </c>
      <c r="D83" s="8"/>
      <c r="E83" s="8" t="s">
        <v>33</v>
      </c>
      <c r="F83" s="8" t="s">
        <v>73</v>
      </c>
      <c r="G83" s="8" t="s">
        <v>74</v>
      </c>
      <c r="H83" s="8" t="s">
        <v>85</v>
      </c>
      <c r="I83" s="8" t="s">
        <v>86</v>
      </c>
    </row>
    <row r="84" spans="1:9">
      <c r="A84" s="8">
        <v>1</v>
      </c>
      <c r="B84" s="8">
        <v>2.27</v>
      </c>
      <c r="C84" s="8">
        <v>2.2000000000000002</v>
      </c>
      <c r="D84" s="8"/>
      <c r="E84" s="8">
        <v>-0.06</v>
      </c>
      <c r="F84" s="8">
        <v>0.13</v>
      </c>
      <c r="G84" s="8">
        <v>-0.25</v>
      </c>
      <c r="H84" s="8">
        <v>0.5</v>
      </c>
      <c r="I84" s="8">
        <v>-0.5</v>
      </c>
    </row>
    <row r="85" spans="1:9">
      <c r="A85" s="8">
        <v>2</v>
      </c>
      <c r="B85" s="8">
        <v>3.21</v>
      </c>
      <c r="C85" s="8">
        <v>3.26</v>
      </c>
      <c r="D85" s="8"/>
      <c r="E85" s="8">
        <v>0.05</v>
      </c>
      <c r="F85" s="8">
        <v>0.21</v>
      </c>
      <c r="G85" s="8">
        <v>-0.11</v>
      </c>
      <c r="H85" s="8">
        <v>0.5</v>
      </c>
      <c r="I85" s="8">
        <v>-0.5</v>
      </c>
    </row>
    <row r="86" spans="1:9">
      <c r="A86" s="8">
        <v>3</v>
      </c>
      <c r="B86" s="8">
        <v>4.2</v>
      </c>
      <c r="C86" s="8">
        <v>4.2300000000000004</v>
      </c>
      <c r="D86" s="8"/>
      <c r="E86" s="8">
        <v>0.03</v>
      </c>
      <c r="F86" s="8">
        <v>0.18</v>
      </c>
      <c r="G86" s="8">
        <v>-0.13</v>
      </c>
      <c r="H86" s="8">
        <v>0.5</v>
      </c>
      <c r="I86" s="8">
        <v>-0.5</v>
      </c>
    </row>
    <row r="87" spans="1:9">
      <c r="A87" s="8"/>
      <c r="B87" s="8"/>
      <c r="C87" s="8"/>
      <c r="D87" s="8"/>
      <c r="E87" s="8"/>
      <c r="F87" s="8"/>
      <c r="G87" s="8"/>
      <c r="H87" s="8"/>
      <c r="I87" s="8"/>
    </row>
  </sheetData>
  <mergeCells count="16">
    <mergeCell ref="B57:F57"/>
    <mergeCell ref="G57:K57"/>
    <mergeCell ref="B56:J56"/>
    <mergeCell ref="H43:J43"/>
    <mergeCell ref="K56:L56"/>
    <mergeCell ref="A2:O2"/>
    <mergeCell ref="A55:E55"/>
    <mergeCell ref="B3:K3"/>
    <mergeCell ref="B4:F4"/>
    <mergeCell ref="G4:K4"/>
    <mergeCell ref="L29:O29"/>
    <mergeCell ref="L30:M30"/>
    <mergeCell ref="N30:O30"/>
    <mergeCell ref="B30:F30"/>
    <mergeCell ref="G30:K30"/>
    <mergeCell ref="B29:K29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F1597BAFFF304195BD8C93DCDA6C17" ma:contentTypeVersion="80" ma:contentTypeDescription="Create a new document." ma:contentTypeScope="" ma:versionID="0d5b54b3594eacc93aea365d118fdf75">
  <xsd:schema xmlns:xsd="http://www.w3.org/2001/XMLSchema" xmlns:xs="http://www.w3.org/2001/XMLSchema" xmlns:p="http://schemas.microsoft.com/office/2006/metadata/properties" xmlns:ns1="http://schemas.microsoft.com/sharepoint/v3" xmlns:ns2="8fbc1789-8403-434d-95f1-0aaab5543622" xmlns:ns3="7ceb7d65-1530-4956-bf59-b3dba2b2b9cd" xmlns:ns4="b03a1b0e-073b-4240-9f24-9632371bb35c" targetNamespace="http://schemas.microsoft.com/office/2006/metadata/properties" ma:root="true" ma:fieldsID="1f7d7e9bbf14a803e399d5d885f0e69e" ns1:_="" ns2:_="" ns3:_="" ns4:_="">
    <xsd:import namespace="http://schemas.microsoft.com/sharepoint/v3"/>
    <xsd:import namespace="8fbc1789-8403-434d-95f1-0aaab5543622"/>
    <xsd:import namespace="7ceb7d65-1530-4956-bf59-b3dba2b2b9cd"/>
    <xsd:import namespace="b03a1b0e-073b-4240-9f24-9632371bb35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c1789-8403-434d-95f1-0aaab55436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c87fe84-972f-4137-b4f3-307d9894c7f7}" ma:internalName="TaxCatchAll" ma:showField="CatchAllData" ma:web="8fbc1789-8403-434d-95f1-0aaab5543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b7d65-1530-4956-bf59-b3dba2b2b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1cccb08-cbc1-4be7-aef6-ff3b7bf618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a1b0e-073b-4240-9f24-9632371bb3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fbc1789-8403-434d-95f1-0aaab5543622" xsi:nil="true"/>
    <lcf76f155ced4ddcb4097134ff3c332f xmlns="7ceb7d65-1530-4956-bf59-b3dba2b2b9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4ECA2E-10E9-4504-825A-F24E899FF244}"/>
</file>

<file path=customXml/itemProps2.xml><?xml version="1.0" encoding="utf-8"?>
<ds:datastoreItem xmlns:ds="http://schemas.openxmlformats.org/officeDocument/2006/customXml" ds:itemID="{E7F02D9C-70BB-45E7-A7C3-2DF89AA38361}"/>
</file>

<file path=customXml/itemProps3.xml><?xml version="1.0" encoding="utf-8"?>
<ds:datastoreItem xmlns:ds="http://schemas.openxmlformats.org/officeDocument/2006/customXml" ds:itemID="{E51DD926-3406-434C-AC29-0345C82CE204}"/>
</file>

<file path=customXml/itemProps4.xml><?xml version="1.0" encoding="utf-8"?>
<ds:datastoreItem xmlns:ds="http://schemas.openxmlformats.org/officeDocument/2006/customXml" ds:itemID="{77F91799-9AD3-428D-83BB-2F3735ED31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Veterinærinstituttet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Norli Hilde Skår</dc:creator>
  <cp:keywords/>
  <dc:description/>
  <cp:lastModifiedBy>Hilde Johanne Skår Norli</cp:lastModifiedBy>
  <cp:revision/>
  <dcterms:created xsi:type="dcterms:W3CDTF">2015-07-09T12:12:22Z</dcterms:created>
  <dcterms:modified xsi:type="dcterms:W3CDTF">2026-04-21T08:17:23Z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0x01010015F1597BAFFF304195BD8C93DCDA6C17</vt:lpwstr>
  </property>
  <property fmtid="{D5CDD505-2E9C-101B-9397-08002B2CF9AE}" pid="3" name="MediaServiceImageTags">
    <vt:lpwstr/>
  </property>
</Properties>
</file>